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5075" windowHeight="7170"/>
  </bookViews>
  <sheets>
    <sheet name="対応年表" sheetId="1" r:id="rId1"/>
  </sheets>
  <definedNames>
    <definedName name="_xlnm._FilterDatabase" localSheetId="0" hidden="1">対応年表!$A$1:$R$582</definedName>
    <definedName name="_xlnm.Print_Titles" localSheetId="0">対応年表!$1:$1</definedName>
  </definedNames>
  <calcPr calcId="145621"/>
</workbook>
</file>

<file path=xl/calcChain.xml><?xml version="1.0" encoding="utf-8"?>
<calcChain xmlns="http://schemas.openxmlformats.org/spreadsheetml/2006/main">
  <c r="P108" i="1" l="1"/>
  <c r="P107" i="1"/>
  <c r="P1904" i="1" l="1"/>
  <c r="Q1903" i="1"/>
  <c r="P1903" i="1"/>
  <c r="P1902" i="1"/>
  <c r="Q1901" i="1"/>
  <c r="P1901" i="1"/>
  <c r="L1901" i="1"/>
  <c r="P1900" i="1"/>
  <c r="P1899" i="1"/>
  <c r="P1898" i="1"/>
  <c r="P1897" i="1"/>
  <c r="P1896" i="1"/>
  <c r="P1895" i="1"/>
  <c r="P1894" i="1"/>
  <c r="P1893" i="1"/>
  <c r="P1892" i="1"/>
  <c r="Q1891" i="1"/>
  <c r="P1891" i="1"/>
  <c r="P1890" i="1"/>
  <c r="P1889" i="1"/>
  <c r="P1888" i="1"/>
  <c r="P1887" i="1"/>
  <c r="P1886" i="1"/>
  <c r="L1886" i="1"/>
  <c r="Q1885" i="1"/>
  <c r="P1885" i="1"/>
  <c r="L1885" i="1"/>
  <c r="P1884" i="1"/>
  <c r="P1883" i="1"/>
  <c r="P1882" i="1"/>
  <c r="Q1881" i="1"/>
  <c r="P1881" i="1"/>
  <c r="P1880" i="1"/>
  <c r="Q1879" i="1"/>
  <c r="P1879" i="1"/>
  <c r="Q1878" i="1"/>
  <c r="P1878" i="1"/>
  <c r="Q1877" i="1"/>
  <c r="P1877" i="1"/>
  <c r="L1877" i="1"/>
  <c r="J1877" i="1"/>
  <c r="P1876" i="1"/>
  <c r="P1875" i="1"/>
  <c r="P1874" i="1"/>
  <c r="P1873" i="1"/>
  <c r="P1872" i="1"/>
  <c r="Q1871" i="1"/>
  <c r="P1871" i="1"/>
  <c r="J1871" i="1"/>
  <c r="P1870" i="1"/>
  <c r="P1869" i="1"/>
  <c r="P1868" i="1"/>
  <c r="P1867" i="1"/>
  <c r="P1866" i="1"/>
  <c r="P1865" i="1"/>
  <c r="P1864" i="1"/>
  <c r="Q1863" i="1"/>
  <c r="P1863" i="1"/>
  <c r="J1863" i="1"/>
  <c r="P1862" i="1"/>
  <c r="P1861" i="1"/>
  <c r="P1860" i="1"/>
  <c r="P1859" i="1"/>
  <c r="J1859" i="1"/>
  <c r="P1858" i="1"/>
  <c r="P1857" i="1"/>
  <c r="Q1856" i="1"/>
  <c r="P1856" i="1"/>
  <c r="Q1855" i="1"/>
  <c r="P1855" i="1"/>
  <c r="J1855" i="1"/>
  <c r="P1854" i="1"/>
  <c r="P1853" i="1"/>
  <c r="J1853" i="1"/>
  <c r="P1852" i="1"/>
  <c r="P1851" i="1"/>
  <c r="P1850" i="1"/>
  <c r="P1849" i="1"/>
  <c r="P1848" i="1"/>
  <c r="P1847" i="1"/>
  <c r="P1846" i="1"/>
  <c r="P1845" i="1"/>
  <c r="P1844" i="1"/>
  <c r="Q1843" i="1"/>
  <c r="P1843" i="1"/>
  <c r="M1843" i="1"/>
  <c r="J1843" i="1"/>
  <c r="Q1842" i="1"/>
  <c r="P1842" i="1"/>
  <c r="J1842" i="1"/>
  <c r="P1841" i="1"/>
  <c r="P1840" i="1"/>
  <c r="J1840" i="1"/>
  <c r="P1839" i="1"/>
  <c r="P1838" i="1"/>
  <c r="P1837" i="1"/>
  <c r="P1836" i="1"/>
  <c r="Q1835" i="1"/>
  <c r="P1835" i="1"/>
  <c r="M1835" i="1"/>
  <c r="J1835" i="1"/>
  <c r="Q1834" i="1"/>
  <c r="P1834" i="1"/>
  <c r="P1833" i="1"/>
  <c r="P1832" i="1"/>
  <c r="P1831" i="1"/>
  <c r="P1830" i="1"/>
  <c r="P1829" i="1"/>
  <c r="Q1828" i="1"/>
  <c r="P1828" i="1"/>
  <c r="P1827" i="1"/>
  <c r="P1826" i="1"/>
  <c r="L1826" i="1"/>
  <c r="Q1825" i="1"/>
  <c r="P1825" i="1"/>
  <c r="L1825" i="1"/>
  <c r="P1824" i="1"/>
  <c r="P1823" i="1"/>
  <c r="P1822" i="1"/>
  <c r="P1821" i="1"/>
  <c r="P1820" i="1"/>
  <c r="P1819" i="1"/>
  <c r="J1819" i="1"/>
  <c r="P1818" i="1"/>
  <c r="P1817" i="1"/>
  <c r="P1816" i="1"/>
  <c r="P1815" i="1"/>
  <c r="P1814" i="1"/>
  <c r="P1813" i="1"/>
  <c r="P1812" i="1"/>
  <c r="Q1811" i="1"/>
  <c r="P1811" i="1"/>
  <c r="L1811" i="1"/>
  <c r="P1810" i="1"/>
  <c r="P1809" i="1"/>
  <c r="P1808" i="1"/>
  <c r="P1807" i="1"/>
  <c r="P1806" i="1"/>
  <c r="P1805" i="1"/>
  <c r="P1804" i="1"/>
  <c r="P1803" i="1"/>
  <c r="P1802" i="1"/>
  <c r="P1801" i="1"/>
  <c r="P1800" i="1"/>
  <c r="P1799" i="1"/>
  <c r="P1798" i="1"/>
  <c r="P1797" i="1"/>
  <c r="Q1796" i="1"/>
  <c r="P1796" i="1"/>
  <c r="Q1795" i="1"/>
  <c r="P1795" i="1"/>
  <c r="L1795" i="1"/>
  <c r="P1794" i="1"/>
  <c r="P1793" i="1"/>
  <c r="P1792" i="1"/>
  <c r="P1791" i="1"/>
  <c r="P1790" i="1"/>
  <c r="P1789" i="1"/>
  <c r="Q1788" i="1"/>
  <c r="P1788" i="1"/>
  <c r="Q1787" i="1"/>
  <c r="P1787" i="1"/>
  <c r="Q1786" i="1"/>
  <c r="P1786" i="1"/>
  <c r="P1785" i="1"/>
  <c r="P1784" i="1"/>
  <c r="P1783" i="1"/>
  <c r="P1782" i="1"/>
  <c r="J1782" i="1"/>
  <c r="P1781" i="1"/>
  <c r="P1780" i="1"/>
  <c r="P1779" i="1"/>
  <c r="P1778" i="1"/>
  <c r="P1777" i="1"/>
  <c r="P1776" i="1"/>
  <c r="P1775" i="1"/>
  <c r="P1774" i="1"/>
  <c r="P1773" i="1"/>
  <c r="P1772" i="1"/>
  <c r="Q1771" i="1"/>
  <c r="P1771" i="1"/>
  <c r="Q1770" i="1"/>
  <c r="P1770" i="1"/>
  <c r="L1770" i="1"/>
  <c r="J1770" i="1"/>
  <c r="P1769" i="1"/>
  <c r="P1768" i="1"/>
  <c r="P1767" i="1"/>
  <c r="P1766" i="1"/>
  <c r="P1765" i="1"/>
  <c r="P1764" i="1"/>
  <c r="P1763" i="1"/>
  <c r="Q1762" i="1"/>
  <c r="P1762" i="1"/>
  <c r="M1762" i="1"/>
  <c r="P1761" i="1"/>
  <c r="P1760" i="1"/>
  <c r="P1759" i="1"/>
  <c r="P1758" i="1"/>
  <c r="P1757" i="1"/>
  <c r="P1756" i="1"/>
  <c r="P1755" i="1"/>
  <c r="P1754" i="1"/>
  <c r="P1753" i="1"/>
  <c r="P1752" i="1"/>
  <c r="P1751" i="1"/>
  <c r="P1750" i="1"/>
  <c r="P1749" i="1"/>
  <c r="P1748" i="1"/>
  <c r="P1747" i="1"/>
  <c r="M1747" i="1"/>
  <c r="L1747" i="1"/>
  <c r="J1747" i="1"/>
  <c r="P1746" i="1"/>
  <c r="P1745" i="1"/>
  <c r="P1744" i="1"/>
  <c r="P1743" i="1"/>
  <c r="P1742" i="1"/>
  <c r="P1741" i="1"/>
  <c r="Q1740" i="1"/>
  <c r="P1740" i="1"/>
  <c r="P1739" i="1"/>
  <c r="P1738" i="1"/>
  <c r="P1737" i="1"/>
  <c r="P1736" i="1"/>
  <c r="P1735" i="1"/>
  <c r="P1734" i="1"/>
  <c r="P1733" i="1"/>
  <c r="Q1732" i="1"/>
  <c r="P1732" i="1"/>
  <c r="Q1731" i="1"/>
  <c r="P1731" i="1"/>
  <c r="L1731" i="1"/>
  <c r="Q1730" i="1"/>
  <c r="P1730" i="1"/>
  <c r="J1730" i="1"/>
  <c r="P1729" i="1"/>
  <c r="Q1728" i="1"/>
  <c r="P1728" i="1"/>
  <c r="Q1727" i="1"/>
  <c r="P1727" i="1"/>
  <c r="Q1726" i="1"/>
  <c r="P1726" i="1"/>
  <c r="M1726" i="1"/>
  <c r="J1726" i="1"/>
  <c r="P1725" i="1"/>
  <c r="P1724" i="1"/>
  <c r="P1723" i="1"/>
  <c r="P1722" i="1"/>
  <c r="P1721" i="1"/>
  <c r="J1721" i="1"/>
  <c r="P1720" i="1"/>
  <c r="P1719" i="1"/>
  <c r="Q1718" i="1"/>
  <c r="P1718" i="1"/>
  <c r="Q1717" i="1"/>
  <c r="P1717" i="1"/>
  <c r="M1717" i="1"/>
  <c r="L1717" i="1"/>
  <c r="P1716" i="1"/>
  <c r="Q1715" i="1"/>
  <c r="P1715" i="1"/>
  <c r="Q1714" i="1"/>
  <c r="P1714" i="1"/>
  <c r="L1714" i="1"/>
  <c r="J1714" i="1"/>
  <c r="P1713" i="1"/>
  <c r="P1712" i="1"/>
  <c r="Q1711" i="1"/>
  <c r="P1711" i="1"/>
  <c r="Q1710" i="1"/>
  <c r="P1710" i="1"/>
  <c r="J1710" i="1"/>
  <c r="P1709" i="1"/>
  <c r="P1708" i="1"/>
  <c r="P1707" i="1"/>
  <c r="P1706" i="1"/>
  <c r="P1705" i="1"/>
  <c r="Q1704" i="1"/>
  <c r="P1704" i="1"/>
  <c r="J1704" i="1"/>
  <c r="P1703" i="1"/>
  <c r="P1702" i="1"/>
  <c r="P1701" i="1"/>
  <c r="P1700" i="1"/>
  <c r="P1699" i="1"/>
  <c r="P1698" i="1"/>
  <c r="P1697" i="1"/>
  <c r="P1696" i="1"/>
  <c r="P1695" i="1"/>
  <c r="P1694" i="1"/>
  <c r="P1693" i="1"/>
  <c r="P1692" i="1"/>
  <c r="P1691" i="1"/>
  <c r="P1690" i="1"/>
  <c r="Q1689" i="1"/>
  <c r="P1689" i="1"/>
  <c r="Q1688" i="1"/>
  <c r="P1688" i="1"/>
  <c r="Q1687" i="1"/>
  <c r="P1687" i="1"/>
  <c r="M1687" i="1"/>
  <c r="J1687" i="1"/>
  <c r="P1686" i="1"/>
  <c r="Q1685" i="1"/>
  <c r="P1685" i="1"/>
  <c r="J1685" i="1"/>
  <c r="P1684" i="1"/>
  <c r="Q1683" i="1"/>
  <c r="P1683" i="1"/>
  <c r="P1682" i="1"/>
  <c r="P1681" i="1"/>
  <c r="Q1680" i="1"/>
  <c r="P1680" i="1"/>
  <c r="J1680" i="1"/>
  <c r="Q1679" i="1"/>
  <c r="P1679" i="1"/>
  <c r="Q1678" i="1"/>
  <c r="P1678" i="1"/>
  <c r="M1678" i="1"/>
  <c r="J1678" i="1"/>
  <c r="P1677" i="1"/>
  <c r="P1676" i="1"/>
  <c r="P1675" i="1"/>
  <c r="P1674" i="1"/>
  <c r="P1673" i="1"/>
  <c r="P1672" i="1"/>
  <c r="L1672" i="1"/>
  <c r="Q1671" i="1"/>
  <c r="P1671" i="1"/>
  <c r="J1671" i="1"/>
  <c r="P1670" i="1"/>
  <c r="P1669" i="1"/>
  <c r="P1668" i="1"/>
  <c r="Q1667" i="1"/>
  <c r="P1667" i="1"/>
  <c r="P1666" i="1"/>
  <c r="P1665" i="1"/>
  <c r="Q1664" i="1"/>
  <c r="P1664" i="1"/>
  <c r="L1664" i="1"/>
  <c r="J1664" i="1"/>
  <c r="P1663" i="1"/>
  <c r="Q1662" i="1"/>
  <c r="P1662" i="1"/>
  <c r="P1661" i="1"/>
  <c r="L1661" i="1"/>
  <c r="P1660" i="1"/>
  <c r="L1660" i="1"/>
  <c r="Q1659" i="1"/>
  <c r="P1659" i="1"/>
  <c r="L1659" i="1"/>
  <c r="J1659" i="1"/>
  <c r="P1658" i="1"/>
  <c r="P1657" i="1"/>
  <c r="Q1656" i="1"/>
  <c r="P1656" i="1"/>
  <c r="Q1655" i="1"/>
  <c r="P1655" i="1"/>
  <c r="L1655" i="1"/>
  <c r="J1655" i="1"/>
  <c r="P1654" i="1"/>
  <c r="P1653" i="1"/>
  <c r="P1652" i="1"/>
  <c r="M1652" i="1"/>
  <c r="L1652" i="1"/>
  <c r="P1651" i="1"/>
  <c r="P1650" i="1"/>
  <c r="P1649" i="1"/>
  <c r="P1648" i="1"/>
  <c r="P1647" i="1"/>
  <c r="P1646" i="1"/>
  <c r="P1645" i="1"/>
  <c r="P1644" i="1"/>
  <c r="P1643" i="1"/>
  <c r="P1642" i="1"/>
  <c r="P1641" i="1"/>
  <c r="Q1640" i="1"/>
  <c r="P1640" i="1"/>
  <c r="J1640" i="1"/>
  <c r="P1639" i="1"/>
  <c r="P1638" i="1"/>
  <c r="P1637" i="1"/>
  <c r="P1636" i="1"/>
  <c r="Q1635" i="1"/>
  <c r="P1635" i="1"/>
  <c r="J1635" i="1"/>
  <c r="Q1634" i="1"/>
  <c r="P1634" i="1"/>
  <c r="L1634" i="1"/>
  <c r="P1633" i="1"/>
  <c r="P1632" i="1"/>
  <c r="P1631" i="1"/>
  <c r="P1630" i="1"/>
  <c r="P1629" i="1"/>
  <c r="J1629" i="1"/>
  <c r="P1628" i="1"/>
  <c r="M1628" i="1"/>
  <c r="P1627" i="1"/>
  <c r="M1627" i="1"/>
  <c r="P1626" i="1"/>
  <c r="P1625" i="1"/>
  <c r="P1624" i="1"/>
  <c r="P1623" i="1"/>
  <c r="P1622" i="1"/>
  <c r="P1621" i="1"/>
  <c r="Q1620" i="1"/>
  <c r="P1620" i="1"/>
  <c r="L1620" i="1"/>
  <c r="Q1619" i="1"/>
  <c r="P1619" i="1"/>
  <c r="J1619" i="1"/>
  <c r="P1618" i="1"/>
  <c r="P1617" i="1"/>
  <c r="P1616" i="1"/>
  <c r="P1615" i="1"/>
  <c r="P1614" i="1"/>
  <c r="P1613" i="1"/>
  <c r="P1612" i="1"/>
  <c r="P1611" i="1"/>
  <c r="P1610" i="1"/>
  <c r="Q1609" i="1"/>
  <c r="P1609" i="1"/>
  <c r="P1608" i="1"/>
  <c r="Q1607" i="1"/>
  <c r="P1607" i="1"/>
  <c r="P1606" i="1"/>
  <c r="P1605" i="1"/>
  <c r="P1604" i="1"/>
  <c r="P1603" i="1"/>
  <c r="P1602" i="1"/>
  <c r="P1601" i="1"/>
  <c r="Q1600" i="1"/>
  <c r="P1600" i="1"/>
  <c r="M1600" i="1"/>
  <c r="J1600" i="1"/>
  <c r="P1599" i="1"/>
  <c r="P1598" i="1"/>
  <c r="P1597" i="1"/>
  <c r="P1596" i="1"/>
  <c r="P1595" i="1"/>
  <c r="P1594" i="1"/>
  <c r="P1593" i="1"/>
  <c r="P1592" i="1"/>
  <c r="P1591" i="1"/>
  <c r="P1590" i="1"/>
  <c r="P1589" i="1"/>
  <c r="P1588" i="1"/>
  <c r="P1587" i="1"/>
  <c r="P1586" i="1"/>
  <c r="P1585" i="1"/>
  <c r="P1584" i="1"/>
  <c r="P1583" i="1"/>
  <c r="P1582" i="1"/>
  <c r="P1581" i="1"/>
  <c r="Q1580" i="1"/>
  <c r="P1580" i="1"/>
  <c r="P1579" i="1"/>
  <c r="P1578" i="1"/>
  <c r="Q1577" i="1"/>
  <c r="P1577" i="1"/>
  <c r="P1576" i="1"/>
  <c r="P1575" i="1"/>
  <c r="P1574" i="1"/>
  <c r="P1573" i="1"/>
  <c r="P1572" i="1"/>
  <c r="P1571" i="1"/>
  <c r="P1570" i="1"/>
  <c r="P1569" i="1"/>
  <c r="P1568" i="1"/>
  <c r="P1567" i="1"/>
  <c r="P1566" i="1"/>
  <c r="M1566" i="1"/>
  <c r="Q1565" i="1"/>
  <c r="P1565" i="1"/>
  <c r="M1565" i="1"/>
  <c r="P1564" i="1"/>
  <c r="P1563" i="1"/>
  <c r="P1562" i="1"/>
  <c r="P1561" i="1"/>
  <c r="P1560" i="1"/>
  <c r="P1559" i="1"/>
  <c r="Q1558" i="1"/>
  <c r="P1558" i="1"/>
  <c r="P1557" i="1"/>
  <c r="P1556" i="1"/>
  <c r="P1555" i="1"/>
  <c r="P1554" i="1"/>
  <c r="P1553" i="1"/>
  <c r="Q1552" i="1"/>
  <c r="P1552" i="1"/>
  <c r="M1552" i="1"/>
  <c r="J1552" i="1"/>
  <c r="Q1551" i="1"/>
  <c r="P1551" i="1"/>
  <c r="P1550" i="1"/>
  <c r="P1549" i="1"/>
  <c r="P1548" i="1"/>
  <c r="Q1547" i="1"/>
  <c r="P1547" i="1"/>
  <c r="Q1546" i="1"/>
  <c r="P1546" i="1"/>
  <c r="J1546" i="1"/>
  <c r="P1545" i="1"/>
  <c r="Q1544" i="1"/>
  <c r="P1544" i="1"/>
  <c r="Q1543" i="1"/>
  <c r="P1543" i="1"/>
  <c r="Q1542" i="1"/>
  <c r="P1542" i="1"/>
  <c r="J1542" i="1"/>
  <c r="P1541" i="1"/>
  <c r="P1540" i="1"/>
  <c r="P1539" i="1"/>
  <c r="P1538" i="1"/>
  <c r="P1537" i="1"/>
  <c r="P1536" i="1"/>
  <c r="Q1535" i="1"/>
  <c r="P1535" i="1"/>
  <c r="M1535" i="1"/>
  <c r="J1535" i="1"/>
  <c r="P1534" i="1"/>
  <c r="P1533" i="1"/>
  <c r="P1532" i="1"/>
  <c r="Q1531" i="1"/>
  <c r="P1531" i="1"/>
  <c r="Q1530" i="1"/>
  <c r="P1530" i="1"/>
  <c r="J1530" i="1"/>
  <c r="P1529" i="1"/>
  <c r="P1528" i="1"/>
  <c r="Q1527" i="1"/>
  <c r="P1527" i="1"/>
  <c r="P1526" i="1"/>
  <c r="P1525" i="1"/>
  <c r="P1524" i="1"/>
  <c r="P1523" i="1"/>
  <c r="P1522" i="1"/>
  <c r="P1521" i="1"/>
  <c r="P1520" i="1"/>
  <c r="P1519" i="1"/>
  <c r="P1518" i="1"/>
  <c r="P1517" i="1"/>
  <c r="P1516" i="1"/>
  <c r="P1515" i="1"/>
  <c r="P1514" i="1"/>
  <c r="P1513" i="1"/>
  <c r="P1512" i="1"/>
  <c r="P1511" i="1"/>
  <c r="P1510" i="1"/>
  <c r="P1509" i="1"/>
  <c r="M1509" i="1"/>
  <c r="P1508" i="1"/>
  <c r="P1507" i="1"/>
  <c r="P1506" i="1"/>
  <c r="P1505" i="1"/>
  <c r="P1504" i="1"/>
  <c r="P1503" i="1"/>
  <c r="P1502" i="1"/>
  <c r="P1501" i="1"/>
  <c r="P1500" i="1"/>
  <c r="P1499" i="1"/>
  <c r="P1498" i="1"/>
  <c r="P1497" i="1"/>
  <c r="P1496" i="1"/>
  <c r="P1495" i="1"/>
  <c r="P1494" i="1"/>
  <c r="P1493" i="1"/>
  <c r="P1492" i="1"/>
  <c r="P1491" i="1"/>
  <c r="P1490" i="1"/>
  <c r="P1489" i="1"/>
  <c r="P1488" i="1"/>
  <c r="P1487" i="1"/>
  <c r="P1486" i="1"/>
  <c r="Q1485" i="1"/>
  <c r="P1485" i="1"/>
  <c r="P1484" i="1"/>
  <c r="P1483" i="1"/>
  <c r="P1482" i="1"/>
  <c r="P1481" i="1"/>
  <c r="P1480" i="1"/>
  <c r="P1479" i="1"/>
  <c r="P1478" i="1"/>
  <c r="P1477" i="1"/>
  <c r="Q1476" i="1"/>
  <c r="P1476" i="1"/>
  <c r="J1476" i="1"/>
  <c r="P1475" i="1"/>
  <c r="P1474" i="1"/>
  <c r="P1473" i="1"/>
  <c r="P1472" i="1"/>
  <c r="P1471" i="1"/>
  <c r="Q1470" i="1"/>
  <c r="P1470" i="1"/>
  <c r="J1470" i="1"/>
  <c r="P1469" i="1"/>
  <c r="Q1468" i="1"/>
  <c r="P1468" i="1"/>
  <c r="P1467" i="1"/>
  <c r="P1466" i="1"/>
  <c r="Q1465" i="1"/>
  <c r="P1465" i="1"/>
  <c r="M1465" i="1"/>
  <c r="L1465" i="1"/>
  <c r="P1464" i="1"/>
  <c r="P1463" i="1"/>
  <c r="P1462" i="1"/>
  <c r="P1461" i="1"/>
  <c r="P1460" i="1"/>
  <c r="P1459" i="1"/>
  <c r="Q1458" i="1"/>
  <c r="P1458" i="1"/>
  <c r="P1457" i="1"/>
  <c r="P1456" i="1"/>
  <c r="P1455" i="1"/>
  <c r="P1454" i="1"/>
  <c r="P1453" i="1"/>
  <c r="P1452" i="1"/>
  <c r="P1451" i="1"/>
  <c r="P1450" i="1"/>
  <c r="P1449" i="1"/>
  <c r="Q1448" i="1"/>
  <c r="P1448" i="1"/>
  <c r="Q1447" i="1"/>
  <c r="P1447" i="1"/>
  <c r="J1447" i="1"/>
  <c r="P1446" i="1"/>
  <c r="P1445" i="1"/>
  <c r="P1444" i="1"/>
  <c r="P1443" i="1"/>
  <c r="P1442" i="1"/>
  <c r="P1441" i="1"/>
  <c r="Q1440" i="1"/>
  <c r="P1440" i="1"/>
  <c r="Q1439" i="1"/>
  <c r="P1439" i="1"/>
  <c r="Q1438" i="1"/>
  <c r="P1438" i="1"/>
  <c r="Q1437" i="1"/>
  <c r="P1437" i="1"/>
  <c r="M1437" i="1"/>
  <c r="P1436" i="1"/>
  <c r="P1435" i="1"/>
  <c r="P1434" i="1"/>
  <c r="P1433" i="1"/>
  <c r="P1432" i="1"/>
  <c r="P1431" i="1"/>
  <c r="Q1430" i="1"/>
  <c r="P1430" i="1"/>
  <c r="L1430" i="1"/>
  <c r="P1429" i="1"/>
  <c r="P1428" i="1"/>
  <c r="P1427" i="1"/>
  <c r="P1426" i="1"/>
  <c r="P1425" i="1"/>
  <c r="Q1424" i="1"/>
  <c r="P1424" i="1"/>
  <c r="L1424" i="1"/>
  <c r="Q1423" i="1"/>
  <c r="P1423" i="1"/>
  <c r="L1423" i="1"/>
  <c r="P1422" i="1"/>
  <c r="P1421" i="1"/>
  <c r="P1420" i="1"/>
  <c r="P1419" i="1"/>
  <c r="P1418" i="1"/>
  <c r="P1417" i="1"/>
  <c r="P1416" i="1"/>
  <c r="P1415" i="1"/>
  <c r="P1414" i="1"/>
  <c r="P1413" i="1"/>
  <c r="P1412" i="1"/>
  <c r="M1412" i="1"/>
  <c r="P1411" i="1"/>
  <c r="P1410" i="1"/>
  <c r="P1409" i="1"/>
  <c r="P1408" i="1"/>
  <c r="P1407" i="1"/>
  <c r="P1406" i="1"/>
  <c r="P1405" i="1"/>
  <c r="P1404" i="1"/>
  <c r="P1403" i="1"/>
  <c r="P1402" i="1"/>
  <c r="P1401" i="1"/>
  <c r="P1400" i="1"/>
  <c r="P1399" i="1"/>
  <c r="P1398" i="1"/>
  <c r="P1397" i="1"/>
  <c r="P1396" i="1"/>
  <c r="Q1395" i="1"/>
  <c r="P1395" i="1"/>
  <c r="P1394" i="1"/>
  <c r="P1393" i="1"/>
  <c r="P1392" i="1"/>
  <c r="P1391" i="1"/>
  <c r="P1390" i="1"/>
  <c r="Q1389" i="1"/>
  <c r="P1389" i="1"/>
  <c r="P1388" i="1"/>
  <c r="Q1387" i="1"/>
  <c r="P1387" i="1"/>
  <c r="P1386" i="1"/>
  <c r="Q1385" i="1"/>
  <c r="P1385" i="1"/>
  <c r="P1384" i="1"/>
  <c r="M1384" i="1"/>
  <c r="L1384" i="1"/>
  <c r="Q1383" i="1"/>
  <c r="P1383" i="1"/>
  <c r="Q1382" i="1"/>
  <c r="P1382" i="1"/>
  <c r="M1382" i="1"/>
  <c r="L1382" i="1"/>
  <c r="J1382" i="1"/>
  <c r="P1381" i="1"/>
  <c r="P1380" i="1"/>
  <c r="P1379" i="1"/>
  <c r="P1378" i="1"/>
  <c r="P1377" i="1"/>
  <c r="P1376" i="1"/>
  <c r="P1375" i="1"/>
  <c r="P1374" i="1"/>
  <c r="P1373" i="1"/>
  <c r="P1372" i="1"/>
  <c r="P1371" i="1"/>
  <c r="P1370" i="1"/>
  <c r="P1369" i="1"/>
  <c r="P1368" i="1"/>
  <c r="J1368" i="1"/>
  <c r="P1367" i="1"/>
  <c r="P1366" i="1"/>
  <c r="P1365" i="1"/>
  <c r="Q1364" i="1"/>
  <c r="P1364" i="1"/>
  <c r="Q1363" i="1"/>
  <c r="P1363" i="1"/>
  <c r="L1363" i="1"/>
  <c r="Q1362" i="1"/>
  <c r="P1362" i="1"/>
  <c r="L1362" i="1"/>
  <c r="Q1361" i="1"/>
  <c r="P1361" i="1"/>
  <c r="P1360" i="1"/>
  <c r="P1359" i="1"/>
  <c r="P1358" i="1"/>
  <c r="P1357" i="1"/>
  <c r="P1356" i="1"/>
  <c r="P1355" i="1"/>
  <c r="P1354" i="1"/>
  <c r="Q1353" i="1"/>
  <c r="P1353" i="1"/>
  <c r="P1352" i="1"/>
  <c r="Q1351" i="1"/>
  <c r="P1351" i="1"/>
  <c r="Q1350" i="1"/>
  <c r="P1350" i="1"/>
  <c r="P1349" i="1"/>
  <c r="P1348" i="1"/>
  <c r="P1347" i="1"/>
  <c r="P1346" i="1"/>
  <c r="P1345" i="1"/>
  <c r="P1344" i="1"/>
  <c r="J1344" i="1"/>
  <c r="P1343" i="1"/>
  <c r="P1342" i="1"/>
  <c r="P1341" i="1"/>
  <c r="P1340" i="1"/>
  <c r="P1339" i="1"/>
  <c r="P1338" i="1"/>
  <c r="Q1337" i="1"/>
  <c r="P1337" i="1"/>
  <c r="Q1336" i="1"/>
  <c r="P1336" i="1"/>
  <c r="P1335" i="1"/>
  <c r="P1334" i="1"/>
  <c r="P1333" i="1"/>
  <c r="P1332" i="1"/>
  <c r="P1331" i="1"/>
  <c r="P1330" i="1"/>
  <c r="P1329" i="1"/>
  <c r="P1328" i="1"/>
  <c r="Q1327" i="1"/>
  <c r="P1327" i="1"/>
  <c r="J1327" i="1"/>
  <c r="P1326" i="1"/>
  <c r="P1325" i="1"/>
  <c r="P1324" i="1"/>
  <c r="P1323" i="1"/>
  <c r="P1322" i="1"/>
  <c r="P1321" i="1"/>
  <c r="P1320" i="1"/>
  <c r="P1319" i="1"/>
  <c r="P1318" i="1"/>
  <c r="P1317" i="1"/>
  <c r="P1316" i="1"/>
  <c r="P1315" i="1"/>
  <c r="P1314" i="1"/>
  <c r="P1313" i="1"/>
  <c r="P1312" i="1"/>
  <c r="P1311" i="1"/>
  <c r="P1310" i="1"/>
  <c r="P1309" i="1"/>
  <c r="P1308" i="1"/>
  <c r="M1308" i="1"/>
  <c r="P1307" i="1"/>
  <c r="P1306" i="1"/>
  <c r="P1305" i="1"/>
  <c r="P1304" i="1"/>
  <c r="P1303" i="1"/>
  <c r="P1302" i="1"/>
  <c r="P1301" i="1"/>
  <c r="P1300" i="1"/>
  <c r="P1299" i="1"/>
  <c r="P1298" i="1"/>
  <c r="P1297" i="1"/>
  <c r="P1296" i="1"/>
  <c r="P1295" i="1"/>
  <c r="P1294" i="1"/>
  <c r="Q1293" i="1"/>
  <c r="P1293" i="1"/>
  <c r="P1292" i="1"/>
  <c r="P1291" i="1"/>
  <c r="P1290" i="1"/>
  <c r="P1289" i="1"/>
  <c r="P1288" i="1"/>
  <c r="P1287" i="1"/>
  <c r="P1286" i="1"/>
  <c r="P1285" i="1"/>
  <c r="P1284" i="1"/>
  <c r="P1283" i="1"/>
  <c r="P1282" i="1"/>
  <c r="P1281" i="1"/>
  <c r="P1280" i="1"/>
  <c r="Q1279" i="1"/>
  <c r="P1279" i="1"/>
  <c r="P1278" i="1"/>
  <c r="P1277" i="1"/>
  <c r="P1276" i="1"/>
  <c r="P1275" i="1"/>
  <c r="Q1274" i="1"/>
  <c r="P1274" i="1"/>
  <c r="P1273" i="1"/>
  <c r="P1272" i="1"/>
  <c r="P1271" i="1"/>
  <c r="P1270" i="1"/>
  <c r="P1269" i="1"/>
  <c r="P1268" i="1"/>
  <c r="P1267" i="1"/>
  <c r="P1266" i="1"/>
  <c r="P1265" i="1"/>
  <c r="P1264" i="1"/>
  <c r="P1263" i="1"/>
  <c r="P1262" i="1"/>
  <c r="P1261" i="1"/>
  <c r="P1260" i="1"/>
  <c r="P1259" i="1"/>
  <c r="P1258" i="1"/>
  <c r="P1257" i="1"/>
  <c r="P1256" i="1"/>
  <c r="P1255" i="1"/>
  <c r="P1254" i="1"/>
  <c r="P1253" i="1"/>
  <c r="P1252" i="1"/>
  <c r="P1251" i="1"/>
  <c r="P1250" i="1"/>
  <c r="P1249" i="1"/>
  <c r="P1248" i="1"/>
  <c r="P1247" i="1"/>
  <c r="Q1246" i="1"/>
  <c r="P1246" i="1"/>
  <c r="P1245" i="1"/>
  <c r="P1244" i="1"/>
  <c r="P1243" i="1"/>
  <c r="P1242" i="1"/>
  <c r="P1241" i="1"/>
  <c r="P1240" i="1"/>
  <c r="J1240" i="1"/>
  <c r="P1239" i="1"/>
  <c r="P1238" i="1"/>
  <c r="P1237" i="1"/>
  <c r="P1236" i="1"/>
  <c r="P1235" i="1"/>
  <c r="P1234" i="1"/>
  <c r="P1233" i="1"/>
  <c r="P1232" i="1"/>
  <c r="P1231" i="1"/>
  <c r="P1230" i="1"/>
  <c r="P1229" i="1"/>
  <c r="P1228" i="1"/>
  <c r="P1227" i="1"/>
  <c r="P1226" i="1"/>
  <c r="P1225" i="1"/>
  <c r="P1224" i="1"/>
  <c r="Q1223" i="1"/>
  <c r="P1223" i="1"/>
  <c r="P1222" i="1"/>
  <c r="P1221" i="1"/>
  <c r="P1220" i="1"/>
  <c r="P1219" i="1"/>
  <c r="P1218" i="1"/>
  <c r="P1217" i="1"/>
  <c r="P1216" i="1"/>
  <c r="P1215" i="1"/>
  <c r="P1214" i="1"/>
  <c r="P1213" i="1"/>
  <c r="P1212" i="1"/>
  <c r="P1211" i="1"/>
  <c r="P1210" i="1"/>
  <c r="P1209" i="1"/>
  <c r="P1208" i="1"/>
  <c r="P1207" i="1"/>
  <c r="P1206" i="1"/>
  <c r="P1205" i="1"/>
  <c r="P1204" i="1"/>
  <c r="P1203" i="1"/>
  <c r="P1202" i="1"/>
  <c r="Q1201" i="1"/>
  <c r="P1201" i="1"/>
  <c r="P1200" i="1"/>
  <c r="P1199" i="1"/>
  <c r="P1198" i="1"/>
  <c r="P1197" i="1"/>
  <c r="P1196" i="1"/>
  <c r="P1195" i="1"/>
  <c r="P1194" i="1"/>
  <c r="P1193" i="1"/>
  <c r="P1192" i="1"/>
  <c r="P1191" i="1"/>
  <c r="P1190" i="1"/>
  <c r="Q1189" i="1"/>
  <c r="P1189" i="1"/>
  <c r="P1188" i="1"/>
  <c r="Q1187" i="1"/>
  <c r="P1187" i="1"/>
  <c r="P1186" i="1"/>
  <c r="Q1185" i="1"/>
  <c r="P1185" i="1"/>
  <c r="P1184" i="1"/>
  <c r="P1183" i="1"/>
  <c r="P1182" i="1"/>
  <c r="P1181" i="1"/>
  <c r="P1180" i="1"/>
  <c r="P1179" i="1"/>
  <c r="Q1178" i="1"/>
  <c r="P1178" i="1"/>
  <c r="P1177" i="1"/>
  <c r="P1176" i="1"/>
  <c r="P1175" i="1"/>
  <c r="P1174" i="1"/>
  <c r="P1173" i="1"/>
  <c r="P1172" i="1"/>
  <c r="Q1171" i="1"/>
  <c r="P1171" i="1"/>
  <c r="P1170" i="1"/>
  <c r="P1169" i="1"/>
  <c r="P1168" i="1"/>
  <c r="Q1167" i="1"/>
  <c r="P1167" i="1"/>
  <c r="P1166" i="1"/>
  <c r="P1165" i="1"/>
  <c r="P1164" i="1"/>
  <c r="P1163" i="1"/>
  <c r="P1162" i="1"/>
  <c r="P1161" i="1"/>
  <c r="Q1160" i="1"/>
  <c r="P1160" i="1"/>
  <c r="P1159" i="1"/>
  <c r="P1158" i="1"/>
  <c r="P1157" i="1"/>
  <c r="P1156" i="1"/>
  <c r="P1155" i="1"/>
  <c r="P1154" i="1"/>
  <c r="P1153" i="1"/>
  <c r="P1152" i="1"/>
  <c r="P1151" i="1"/>
  <c r="P1150" i="1"/>
  <c r="P1149" i="1"/>
  <c r="Q1148" i="1"/>
  <c r="P1148" i="1"/>
  <c r="P1147" i="1"/>
  <c r="Q1146" i="1"/>
  <c r="P1146" i="1"/>
  <c r="P1145" i="1"/>
  <c r="P1144" i="1"/>
  <c r="P1143" i="1"/>
  <c r="P1142" i="1"/>
  <c r="P1141" i="1"/>
  <c r="P1140" i="1"/>
  <c r="P1139" i="1"/>
  <c r="P1138" i="1"/>
  <c r="P1137" i="1"/>
  <c r="P1136" i="1"/>
  <c r="P1135" i="1"/>
  <c r="P1134" i="1"/>
  <c r="P1133" i="1"/>
  <c r="P1132" i="1"/>
  <c r="P1131" i="1"/>
  <c r="P1130" i="1"/>
  <c r="P1129" i="1"/>
  <c r="P1128" i="1"/>
  <c r="Q1127" i="1"/>
  <c r="P1127" i="1"/>
  <c r="Q1126" i="1"/>
  <c r="P1126" i="1"/>
  <c r="P1125" i="1"/>
  <c r="P1124" i="1"/>
  <c r="P1123" i="1"/>
  <c r="P1122" i="1"/>
  <c r="Q1121" i="1"/>
  <c r="P1121" i="1"/>
  <c r="P1120" i="1"/>
  <c r="P1119" i="1"/>
  <c r="P1118" i="1"/>
  <c r="P1117" i="1"/>
  <c r="L1117" i="1"/>
  <c r="P1116" i="1"/>
  <c r="L1116" i="1"/>
  <c r="P1115" i="1"/>
  <c r="P1114" i="1"/>
  <c r="P1113" i="1"/>
  <c r="Q1112" i="1"/>
  <c r="P1112" i="1"/>
  <c r="P1111" i="1"/>
  <c r="P1110" i="1"/>
  <c r="P1109" i="1"/>
  <c r="P1108" i="1"/>
  <c r="Q1107" i="1"/>
  <c r="P1107" i="1"/>
  <c r="Q1106" i="1"/>
  <c r="P1106" i="1"/>
  <c r="Q1105" i="1"/>
  <c r="P1105" i="1"/>
  <c r="P1104" i="1"/>
  <c r="P1103" i="1"/>
  <c r="P1102" i="1"/>
  <c r="Q1101" i="1"/>
  <c r="P1101" i="1"/>
  <c r="P1100" i="1"/>
  <c r="P1099" i="1"/>
  <c r="L1099" i="1"/>
  <c r="Q1098" i="1"/>
  <c r="P1098" i="1"/>
  <c r="L1098" i="1"/>
  <c r="P1097" i="1"/>
  <c r="P1096" i="1"/>
  <c r="P1095" i="1"/>
  <c r="P1094" i="1"/>
  <c r="P1093" i="1"/>
  <c r="P1092" i="1"/>
  <c r="P1091" i="1"/>
  <c r="P1090" i="1"/>
  <c r="P1089" i="1"/>
  <c r="P1088" i="1"/>
  <c r="P1087" i="1"/>
  <c r="P1086" i="1"/>
  <c r="P1085" i="1"/>
  <c r="P1084" i="1"/>
  <c r="P1083" i="1"/>
  <c r="P1082" i="1"/>
  <c r="P1081" i="1"/>
  <c r="P1080" i="1"/>
  <c r="Q1079" i="1"/>
  <c r="P1079" i="1"/>
  <c r="P1078" i="1"/>
  <c r="P1077" i="1"/>
  <c r="P1076" i="1"/>
  <c r="P1075" i="1"/>
  <c r="Q1074" i="1"/>
  <c r="P1074" i="1"/>
  <c r="P1073" i="1"/>
  <c r="P1072" i="1"/>
  <c r="Q1071" i="1"/>
  <c r="P1071" i="1"/>
  <c r="Q1070" i="1"/>
  <c r="P1070" i="1"/>
  <c r="Q1069" i="1"/>
  <c r="P1069" i="1"/>
  <c r="Q1068" i="1"/>
  <c r="P1068" i="1"/>
  <c r="Q1067" i="1"/>
  <c r="P1067" i="1"/>
  <c r="Q1066" i="1"/>
  <c r="P1066" i="1"/>
  <c r="P1065" i="1"/>
  <c r="P1064" i="1"/>
  <c r="P1063" i="1"/>
  <c r="P1062" i="1"/>
  <c r="Q1061" i="1"/>
  <c r="P1061" i="1"/>
  <c r="P1060" i="1"/>
  <c r="P1059" i="1"/>
  <c r="P1058" i="1"/>
  <c r="P1057" i="1"/>
  <c r="P1056" i="1"/>
  <c r="Q1055" i="1"/>
  <c r="P1055" i="1"/>
  <c r="Q1054" i="1"/>
  <c r="P1054" i="1"/>
  <c r="Q1053" i="1"/>
  <c r="P1053" i="1"/>
  <c r="L1053" i="1"/>
  <c r="P1052" i="1"/>
  <c r="P1051" i="1"/>
  <c r="Q1050" i="1"/>
  <c r="P1050" i="1"/>
  <c r="P1049" i="1"/>
  <c r="P1048" i="1"/>
  <c r="P1047" i="1"/>
  <c r="P1046" i="1"/>
  <c r="P1045" i="1"/>
  <c r="P1044" i="1"/>
  <c r="P1043" i="1"/>
  <c r="P1042" i="1"/>
  <c r="P1041" i="1"/>
  <c r="Q1040" i="1"/>
  <c r="P1040" i="1"/>
  <c r="Q1039" i="1"/>
  <c r="P1039" i="1"/>
  <c r="P1038" i="1"/>
  <c r="Q1037" i="1"/>
  <c r="P1037" i="1"/>
  <c r="P1036" i="1"/>
  <c r="P1035" i="1"/>
  <c r="Q1034" i="1"/>
  <c r="P1034" i="1"/>
  <c r="P1033" i="1"/>
  <c r="P1032" i="1"/>
  <c r="P1031" i="1"/>
  <c r="P1030" i="1"/>
  <c r="P1029" i="1"/>
  <c r="P1028" i="1"/>
  <c r="P1027" i="1"/>
  <c r="P1026" i="1"/>
  <c r="Q1025" i="1"/>
  <c r="P1025" i="1"/>
  <c r="L1025" i="1"/>
  <c r="P1024" i="1"/>
  <c r="Q1023" i="1"/>
  <c r="P1023" i="1"/>
  <c r="P1022" i="1"/>
  <c r="P1021" i="1"/>
  <c r="P1020" i="1"/>
  <c r="P1019" i="1"/>
  <c r="P1018" i="1"/>
  <c r="P1017" i="1"/>
  <c r="P1016" i="1"/>
  <c r="Q1015" i="1"/>
  <c r="P1015" i="1"/>
  <c r="Q1014" i="1"/>
  <c r="P1014" i="1"/>
  <c r="Q1013" i="1"/>
  <c r="P1013" i="1"/>
  <c r="P1012" i="1"/>
  <c r="P1011" i="1"/>
  <c r="P1010" i="1"/>
  <c r="P1009" i="1"/>
  <c r="P1008" i="1"/>
  <c r="Q1007" i="1"/>
  <c r="P1007" i="1"/>
  <c r="Q1006" i="1"/>
  <c r="P1006" i="1"/>
  <c r="Q1005" i="1"/>
  <c r="P1005" i="1"/>
  <c r="P1004" i="1"/>
  <c r="P1003" i="1"/>
  <c r="Q1002" i="1"/>
  <c r="P1002" i="1"/>
  <c r="Q1001" i="1"/>
  <c r="P1001" i="1"/>
  <c r="Q1000" i="1"/>
  <c r="P1000" i="1"/>
  <c r="P999" i="1"/>
  <c r="Q998" i="1"/>
  <c r="P998" i="1"/>
  <c r="Q997" i="1"/>
  <c r="P997" i="1"/>
  <c r="Q996" i="1"/>
  <c r="P996" i="1"/>
  <c r="Q995" i="1"/>
  <c r="P995" i="1"/>
  <c r="P994" i="1"/>
  <c r="Q993" i="1"/>
  <c r="P993" i="1"/>
  <c r="P992" i="1"/>
  <c r="P991" i="1"/>
  <c r="P990" i="1"/>
  <c r="P989" i="1"/>
  <c r="P988" i="1"/>
  <c r="P987" i="1"/>
  <c r="P986" i="1"/>
  <c r="Q985" i="1"/>
  <c r="P985" i="1"/>
  <c r="Q984" i="1"/>
  <c r="P984" i="1"/>
  <c r="P983" i="1"/>
  <c r="P982" i="1"/>
  <c r="P981" i="1"/>
  <c r="Q980" i="1"/>
  <c r="P980" i="1"/>
  <c r="L980" i="1"/>
  <c r="P979" i="1"/>
  <c r="P978" i="1"/>
  <c r="P977" i="1"/>
  <c r="P976" i="1"/>
  <c r="P975" i="1"/>
  <c r="L975" i="1"/>
  <c r="P974" i="1"/>
  <c r="L974" i="1"/>
  <c r="P973" i="1"/>
  <c r="L973" i="1"/>
  <c r="Q972" i="1"/>
  <c r="P972" i="1"/>
  <c r="P971" i="1"/>
  <c r="J971" i="1"/>
  <c r="P970" i="1"/>
  <c r="J970" i="1"/>
  <c r="P969" i="1"/>
  <c r="L969" i="1"/>
  <c r="J969" i="1"/>
  <c r="P968" i="1"/>
  <c r="Q967" i="1"/>
  <c r="P967" i="1"/>
  <c r="P966" i="1"/>
  <c r="P965" i="1"/>
  <c r="Q964" i="1"/>
  <c r="P964" i="1"/>
  <c r="P963" i="1"/>
  <c r="J963" i="1"/>
  <c r="P962" i="1"/>
  <c r="J962" i="1"/>
  <c r="P961" i="1"/>
  <c r="P960" i="1"/>
  <c r="J960" i="1"/>
  <c r="Q959" i="1"/>
  <c r="P959" i="1"/>
  <c r="L959" i="1"/>
  <c r="J959" i="1"/>
  <c r="Q958" i="1"/>
  <c r="P958" i="1"/>
  <c r="L958" i="1"/>
  <c r="Q957" i="1"/>
  <c r="P957" i="1"/>
  <c r="P956" i="1"/>
  <c r="Q955" i="1"/>
  <c r="P955" i="1"/>
  <c r="M955" i="1"/>
  <c r="P954" i="1"/>
  <c r="Q953" i="1"/>
  <c r="P953" i="1"/>
  <c r="P952" i="1"/>
  <c r="P951" i="1"/>
  <c r="Q950" i="1"/>
  <c r="P950" i="1"/>
  <c r="P949" i="1"/>
  <c r="P948" i="1"/>
  <c r="Q947" i="1"/>
  <c r="P947" i="1"/>
  <c r="Q946" i="1"/>
  <c r="P946" i="1"/>
  <c r="Q945" i="1"/>
  <c r="P945" i="1"/>
  <c r="Q944" i="1"/>
  <c r="P944" i="1"/>
  <c r="L944" i="1"/>
  <c r="Q943" i="1"/>
  <c r="P943" i="1"/>
  <c r="L943" i="1"/>
  <c r="Q942" i="1"/>
  <c r="P942" i="1"/>
  <c r="L942" i="1"/>
  <c r="Q941" i="1"/>
  <c r="P941" i="1"/>
  <c r="P940" i="1"/>
  <c r="L940" i="1"/>
  <c r="Q939" i="1"/>
  <c r="P939" i="1"/>
  <c r="L939" i="1"/>
  <c r="Q938" i="1"/>
  <c r="P938" i="1"/>
  <c r="L938" i="1"/>
  <c r="P937" i="1"/>
  <c r="L937" i="1"/>
  <c r="Q936" i="1"/>
  <c r="P936" i="1"/>
  <c r="L936" i="1"/>
  <c r="Q935" i="1"/>
  <c r="P935" i="1"/>
  <c r="L935" i="1"/>
  <c r="P934" i="1"/>
  <c r="L934" i="1"/>
  <c r="Q933" i="1"/>
  <c r="P933" i="1"/>
  <c r="L933" i="1"/>
  <c r="P932" i="1"/>
  <c r="L932" i="1"/>
  <c r="Q931" i="1"/>
  <c r="P931" i="1"/>
  <c r="P930" i="1"/>
  <c r="P929" i="1"/>
  <c r="P928" i="1"/>
  <c r="P927" i="1"/>
  <c r="P926" i="1"/>
  <c r="Q925" i="1"/>
  <c r="P925" i="1"/>
  <c r="P924" i="1"/>
  <c r="Q923" i="1"/>
  <c r="P923" i="1"/>
  <c r="Q922" i="1"/>
  <c r="P922" i="1"/>
  <c r="Q921" i="1"/>
  <c r="P921" i="1"/>
  <c r="P920" i="1"/>
  <c r="M920" i="1"/>
  <c r="Q919" i="1"/>
  <c r="P919" i="1"/>
  <c r="P918" i="1"/>
  <c r="Q917" i="1"/>
  <c r="P917" i="1"/>
  <c r="P916" i="1"/>
  <c r="Q915" i="1"/>
  <c r="P915" i="1"/>
  <c r="P914" i="1"/>
  <c r="Q913" i="1"/>
  <c r="P913" i="1"/>
  <c r="Q912" i="1"/>
  <c r="P912" i="1"/>
  <c r="M912" i="1"/>
  <c r="J912" i="1"/>
  <c r="Q911" i="1"/>
  <c r="P911" i="1"/>
  <c r="M911" i="1"/>
  <c r="J911" i="1"/>
  <c r="P910" i="1"/>
  <c r="Q909" i="1"/>
  <c r="P909" i="1"/>
  <c r="M909" i="1"/>
  <c r="J909" i="1"/>
  <c r="P908" i="1"/>
  <c r="P907" i="1"/>
  <c r="P906" i="1"/>
  <c r="P905" i="1"/>
  <c r="P904" i="1"/>
  <c r="P903" i="1"/>
  <c r="P902" i="1"/>
  <c r="P901" i="1"/>
  <c r="P900" i="1"/>
  <c r="Q899" i="1"/>
  <c r="P899" i="1"/>
  <c r="Q898" i="1"/>
  <c r="P898" i="1"/>
  <c r="P897" i="1"/>
  <c r="Q896" i="1"/>
  <c r="P896" i="1"/>
  <c r="M896" i="1"/>
  <c r="L896" i="1"/>
  <c r="J896" i="1"/>
  <c r="P895" i="1"/>
  <c r="P894" i="1"/>
  <c r="P893" i="1"/>
  <c r="P892" i="1"/>
  <c r="P891" i="1"/>
  <c r="Q890" i="1"/>
  <c r="P890" i="1"/>
  <c r="Q889" i="1"/>
  <c r="P889" i="1"/>
  <c r="Q888" i="1"/>
  <c r="P888" i="1"/>
  <c r="Q887" i="1"/>
  <c r="P887" i="1"/>
  <c r="M887" i="1"/>
  <c r="J887" i="1"/>
  <c r="P886" i="1"/>
  <c r="P885" i="1"/>
  <c r="P884" i="1"/>
  <c r="P883" i="1"/>
  <c r="P882" i="1"/>
  <c r="P881" i="1"/>
  <c r="P880" i="1"/>
  <c r="Q879" i="1"/>
  <c r="P879" i="1"/>
  <c r="J879" i="1"/>
  <c r="Q878" i="1"/>
  <c r="P878" i="1"/>
  <c r="J878" i="1"/>
  <c r="P877" i="1"/>
  <c r="P876" i="1"/>
  <c r="J876" i="1"/>
  <c r="P875" i="1"/>
  <c r="P874" i="1"/>
  <c r="P873" i="1"/>
  <c r="P872" i="1"/>
  <c r="P871" i="1"/>
  <c r="Q870" i="1"/>
  <c r="P870" i="1"/>
  <c r="Q869" i="1"/>
  <c r="P869" i="1"/>
  <c r="Q868" i="1"/>
  <c r="P868" i="1"/>
  <c r="P867" i="1"/>
  <c r="P866" i="1"/>
  <c r="L866" i="1"/>
  <c r="P865" i="1"/>
  <c r="P864" i="1"/>
  <c r="L864" i="1"/>
  <c r="Q863" i="1"/>
  <c r="P863" i="1"/>
  <c r="P862" i="1"/>
  <c r="P861" i="1"/>
  <c r="P860" i="1"/>
  <c r="P859" i="1"/>
  <c r="P858" i="1"/>
  <c r="P857" i="1"/>
  <c r="P856" i="1"/>
  <c r="P855" i="1"/>
  <c r="P854" i="1"/>
  <c r="P853" i="1"/>
  <c r="P852" i="1"/>
  <c r="P851" i="1"/>
  <c r="P850" i="1"/>
  <c r="Q849" i="1"/>
  <c r="P849" i="1"/>
  <c r="P848" i="1"/>
  <c r="P847" i="1"/>
  <c r="Q846" i="1"/>
  <c r="P846" i="1"/>
  <c r="L846" i="1"/>
  <c r="Q845" i="1"/>
  <c r="P845" i="1"/>
  <c r="L845" i="1"/>
  <c r="P844" i="1"/>
  <c r="Q843" i="1"/>
  <c r="P843" i="1"/>
  <c r="P842" i="1"/>
  <c r="P841" i="1"/>
  <c r="P840" i="1"/>
  <c r="Q839" i="1"/>
  <c r="P839" i="1"/>
  <c r="P838" i="1"/>
  <c r="Q837" i="1"/>
  <c r="P837" i="1"/>
  <c r="P836" i="1"/>
  <c r="Q835" i="1"/>
  <c r="P835" i="1"/>
  <c r="Q834" i="1"/>
  <c r="P834" i="1"/>
  <c r="L834" i="1"/>
  <c r="P833" i="1"/>
  <c r="P832" i="1"/>
  <c r="P831" i="1"/>
  <c r="P830" i="1"/>
  <c r="P829" i="1"/>
  <c r="P828" i="1"/>
  <c r="P827" i="1"/>
  <c r="P826" i="1"/>
  <c r="Q825" i="1"/>
  <c r="P825" i="1"/>
  <c r="L825" i="1"/>
  <c r="P824" i="1"/>
  <c r="P823" i="1"/>
  <c r="L823" i="1"/>
  <c r="P822" i="1"/>
  <c r="P821" i="1"/>
  <c r="P820" i="1"/>
  <c r="P819" i="1"/>
  <c r="P818" i="1"/>
  <c r="P817" i="1"/>
  <c r="Q816" i="1"/>
  <c r="P816" i="1"/>
  <c r="Q815" i="1"/>
  <c r="P815" i="1"/>
  <c r="Q814" i="1"/>
  <c r="P814" i="1"/>
  <c r="P813" i="1"/>
  <c r="P812" i="1"/>
  <c r="Q811" i="1"/>
  <c r="P811" i="1"/>
  <c r="P810" i="1"/>
  <c r="P809" i="1"/>
  <c r="Q808" i="1"/>
  <c r="P808" i="1"/>
  <c r="Q807" i="1"/>
  <c r="P807" i="1"/>
  <c r="P806" i="1"/>
  <c r="P805" i="1"/>
  <c r="P804" i="1"/>
  <c r="Q803" i="1"/>
  <c r="P803" i="1"/>
  <c r="Q802" i="1"/>
  <c r="P802" i="1"/>
  <c r="P801" i="1"/>
  <c r="Q800" i="1"/>
  <c r="P800" i="1"/>
  <c r="P799" i="1"/>
  <c r="Q798" i="1"/>
  <c r="P798" i="1"/>
  <c r="J798" i="1"/>
  <c r="P797" i="1"/>
  <c r="Q796" i="1"/>
  <c r="P796" i="1"/>
  <c r="L796" i="1"/>
  <c r="Q795" i="1"/>
  <c r="P795" i="1"/>
  <c r="Q794" i="1"/>
  <c r="P794" i="1"/>
  <c r="L794" i="1"/>
  <c r="Q793" i="1"/>
  <c r="P793" i="1"/>
  <c r="Q792" i="1"/>
  <c r="P792" i="1"/>
  <c r="Q791" i="1"/>
  <c r="P791" i="1"/>
  <c r="Q790" i="1"/>
  <c r="P790" i="1"/>
  <c r="Q789" i="1"/>
  <c r="P789" i="1"/>
  <c r="P788" i="1"/>
  <c r="P787" i="1"/>
  <c r="P786" i="1"/>
  <c r="Q785" i="1"/>
  <c r="P785" i="1"/>
  <c r="L785" i="1"/>
  <c r="J785" i="1"/>
  <c r="Q784" i="1"/>
  <c r="P784" i="1"/>
  <c r="Q783" i="1"/>
  <c r="P783" i="1"/>
  <c r="P782" i="1"/>
  <c r="Q781" i="1"/>
  <c r="P781" i="1"/>
  <c r="L781" i="1"/>
  <c r="J781" i="1"/>
  <c r="Q780" i="1"/>
  <c r="P780" i="1"/>
  <c r="P779" i="1"/>
  <c r="P778" i="1"/>
  <c r="P777" i="1"/>
  <c r="P776" i="1"/>
  <c r="Q775" i="1"/>
  <c r="P775" i="1"/>
  <c r="P774" i="1"/>
  <c r="P773" i="1"/>
  <c r="Q772" i="1"/>
  <c r="P772" i="1"/>
  <c r="J772" i="1"/>
  <c r="P771" i="1"/>
  <c r="Q770" i="1"/>
  <c r="P770" i="1"/>
  <c r="Q769" i="1"/>
  <c r="P769" i="1"/>
  <c r="J769" i="1"/>
  <c r="Q768" i="1"/>
  <c r="P768" i="1"/>
  <c r="P767" i="1"/>
  <c r="Q766" i="1"/>
  <c r="P766" i="1"/>
  <c r="Q765" i="1"/>
  <c r="P765" i="1"/>
  <c r="P764" i="1"/>
  <c r="P763" i="1"/>
  <c r="Q762" i="1"/>
  <c r="P762" i="1"/>
  <c r="P761" i="1"/>
  <c r="P760" i="1"/>
  <c r="P759" i="1"/>
  <c r="P758" i="1"/>
  <c r="Q757" i="1"/>
  <c r="P757" i="1"/>
  <c r="Q756" i="1"/>
  <c r="P756" i="1"/>
  <c r="L756" i="1"/>
  <c r="Q755" i="1"/>
  <c r="P755" i="1"/>
  <c r="P754" i="1"/>
  <c r="Q753" i="1"/>
  <c r="P753" i="1"/>
  <c r="Q752" i="1"/>
  <c r="P752" i="1"/>
  <c r="Q751" i="1"/>
  <c r="P751" i="1"/>
  <c r="L751" i="1"/>
  <c r="Q750" i="1"/>
  <c r="P750" i="1"/>
  <c r="P749" i="1"/>
  <c r="P748" i="1"/>
  <c r="Q747" i="1"/>
  <c r="P747" i="1"/>
  <c r="Q746" i="1"/>
  <c r="P746" i="1"/>
  <c r="P745" i="1"/>
  <c r="P744" i="1"/>
  <c r="P743" i="1"/>
  <c r="P742" i="1"/>
  <c r="P741" i="1"/>
  <c r="Q740" i="1"/>
  <c r="P740" i="1"/>
  <c r="P739" i="1"/>
  <c r="Q738" i="1"/>
  <c r="P738" i="1"/>
  <c r="P737" i="1"/>
  <c r="Q736" i="1"/>
  <c r="P736" i="1"/>
  <c r="Q735" i="1"/>
  <c r="P735" i="1"/>
  <c r="Q734" i="1"/>
  <c r="P734" i="1"/>
  <c r="P733" i="1"/>
  <c r="Q732" i="1"/>
  <c r="P732" i="1"/>
  <c r="Q731" i="1"/>
  <c r="P731" i="1"/>
  <c r="Q730" i="1"/>
  <c r="P730" i="1"/>
  <c r="M730" i="1"/>
  <c r="P729" i="1"/>
  <c r="Q728" i="1"/>
  <c r="P728" i="1"/>
  <c r="Q727" i="1"/>
  <c r="P727" i="1"/>
  <c r="Q726" i="1"/>
  <c r="P726" i="1"/>
  <c r="Q725" i="1"/>
  <c r="P725" i="1"/>
  <c r="Q724" i="1"/>
  <c r="P724" i="1"/>
  <c r="P723" i="1"/>
  <c r="L723" i="1"/>
  <c r="P722" i="1"/>
  <c r="Q721" i="1"/>
  <c r="P721" i="1"/>
  <c r="Q720" i="1"/>
  <c r="P720" i="1"/>
  <c r="P719" i="1"/>
  <c r="P718" i="1"/>
  <c r="P717" i="1"/>
  <c r="Q716" i="1"/>
  <c r="P716" i="1"/>
  <c r="Q715" i="1"/>
  <c r="P715" i="1"/>
  <c r="L715" i="1"/>
  <c r="P714" i="1"/>
  <c r="M714" i="1"/>
  <c r="Q713" i="1"/>
  <c r="P713" i="1"/>
  <c r="P712" i="1"/>
  <c r="P711" i="1"/>
  <c r="Q710" i="1"/>
  <c r="P710" i="1"/>
  <c r="P709" i="1"/>
  <c r="P708" i="1"/>
  <c r="Q707" i="1"/>
  <c r="P707" i="1"/>
  <c r="P706" i="1"/>
  <c r="Q705" i="1"/>
  <c r="P705" i="1"/>
  <c r="Q704" i="1"/>
  <c r="P704" i="1"/>
  <c r="M704" i="1"/>
  <c r="Q703" i="1"/>
  <c r="P703" i="1"/>
  <c r="Q702" i="1"/>
  <c r="P702" i="1"/>
  <c r="Q701" i="1"/>
  <c r="P701" i="1"/>
  <c r="Q700" i="1"/>
  <c r="P700" i="1"/>
  <c r="Q699" i="1"/>
  <c r="P699" i="1"/>
  <c r="Q698" i="1"/>
  <c r="P698" i="1"/>
  <c r="M698" i="1"/>
  <c r="Q697" i="1"/>
  <c r="P697" i="1"/>
  <c r="P696" i="1"/>
  <c r="P695" i="1"/>
  <c r="P694" i="1"/>
  <c r="P693" i="1"/>
  <c r="P692" i="1"/>
  <c r="P691" i="1"/>
  <c r="Q690" i="1"/>
  <c r="P690" i="1"/>
  <c r="Q689" i="1"/>
  <c r="P689" i="1"/>
  <c r="M689" i="1"/>
  <c r="P688" i="1"/>
  <c r="P687" i="1"/>
  <c r="Q686" i="1"/>
  <c r="P686" i="1"/>
  <c r="Q685" i="1"/>
  <c r="P685" i="1"/>
  <c r="P684" i="1"/>
  <c r="Q683" i="1"/>
  <c r="P683" i="1"/>
  <c r="Q682" i="1"/>
  <c r="P682" i="1"/>
  <c r="Q681" i="1"/>
  <c r="P681" i="1"/>
  <c r="L681" i="1"/>
  <c r="Q680" i="1"/>
  <c r="P680" i="1"/>
  <c r="L680" i="1"/>
  <c r="P679" i="1"/>
  <c r="P678" i="1"/>
  <c r="P677" i="1"/>
  <c r="Q676" i="1"/>
  <c r="P676" i="1"/>
  <c r="P675" i="1"/>
  <c r="P674" i="1"/>
  <c r="P673" i="1"/>
  <c r="P672" i="1"/>
  <c r="Q671" i="1"/>
  <c r="P671" i="1"/>
  <c r="Q670" i="1"/>
  <c r="P670" i="1"/>
  <c r="P669" i="1"/>
  <c r="Q668" i="1"/>
  <c r="P668" i="1"/>
  <c r="P667" i="1"/>
  <c r="Q666" i="1"/>
  <c r="P666" i="1"/>
  <c r="Q665" i="1"/>
  <c r="P665" i="1"/>
  <c r="M665" i="1"/>
  <c r="P664" i="1"/>
  <c r="P663" i="1"/>
  <c r="P662" i="1"/>
  <c r="P661" i="1"/>
  <c r="P660" i="1"/>
  <c r="Q659" i="1"/>
  <c r="P659" i="1"/>
  <c r="Q658" i="1"/>
  <c r="P658" i="1"/>
  <c r="L658" i="1"/>
  <c r="Q657" i="1"/>
  <c r="P657" i="1"/>
  <c r="Q656" i="1"/>
  <c r="P656" i="1"/>
  <c r="Q655" i="1"/>
  <c r="P655" i="1"/>
  <c r="Q654" i="1"/>
  <c r="P654" i="1"/>
  <c r="Q653" i="1"/>
  <c r="P653" i="1"/>
  <c r="L653" i="1"/>
  <c r="P652" i="1"/>
  <c r="J652" i="1"/>
  <c r="Q651" i="1"/>
  <c r="P651" i="1"/>
  <c r="M651" i="1"/>
  <c r="Q650" i="1"/>
  <c r="P650" i="1"/>
  <c r="L650" i="1"/>
  <c r="Q649" i="1"/>
  <c r="P649" i="1"/>
  <c r="P648" i="1"/>
  <c r="P647" i="1"/>
  <c r="P646" i="1"/>
  <c r="Q645" i="1"/>
  <c r="P645" i="1"/>
  <c r="Q644" i="1"/>
  <c r="P644" i="1"/>
  <c r="Q643" i="1"/>
  <c r="P643" i="1"/>
  <c r="Q642" i="1"/>
  <c r="P642" i="1"/>
  <c r="Q641" i="1"/>
  <c r="P641" i="1"/>
  <c r="L641" i="1"/>
  <c r="Q640" i="1"/>
  <c r="P640" i="1"/>
  <c r="P639" i="1"/>
  <c r="P638" i="1"/>
  <c r="P637" i="1"/>
  <c r="P636" i="1"/>
  <c r="P635" i="1"/>
  <c r="P634" i="1"/>
  <c r="J634" i="1"/>
  <c r="Q633" i="1"/>
  <c r="P633" i="1"/>
  <c r="Q632" i="1"/>
  <c r="P632" i="1"/>
  <c r="Q631" i="1"/>
  <c r="P631" i="1"/>
  <c r="P630" i="1"/>
  <c r="Q629" i="1"/>
  <c r="P629" i="1"/>
  <c r="Q628" i="1"/>
  <c r="P628" i="1"/>
  <c r="M628" i="1"/>
  <c r="P627" i="1"/>
  <c r="Q626" i="1"/>
  <c r="P626" i="1"/>
  <c r="Q625" i="1"/>
  <c r="P625" i="1"/>
  <c r="Q624" i="1"/>
  <c r="P624" i="1"/>
  <c r="P623" i="1"/>
  <c r="Q622" i="1"/>
  <c r="P622" i="1"/>
  <c r="Q621" i="1"/>
  <c r="P621" i="1"/>
  <c r="Q620" i="1"/>
  <c r="P620" i="1"/>
  <c r="M620" i="1"/>
  <c r="Q619" i="1"/>
  <c r="P619" i="1"/>
  <c r="P618" i="1"/>
  <c r="P617" i="1"/>
  <c r="Q616" i="1"/>
  <c r="P616" i="1"/>
  <c r="Q615" i="1"/>
  <c r="P615" i="1"/>
  <c r="L615" i="1"/>
  <c r="Q614" i="1"/>
  <c r="P614" i="1"/>
  <c r="P613" i="1"/>
  <c r="Q612" i="1"/>
  <c r="P612" i="1"/>
  <c r="P611" i="1"/>
  <c r="Q610" i="1"/>
  <c r="P610" i="1"/>
  <c r="L610" i="1"/>
  <c r="P609" i="1"/>
  <c r="Q608" i="1"/>
  <c r="P608" i="1"/>
  <c r="Q607" i="1"/>
  <c r="P607" i="1"/>
  <c r="Q606" i="1"/>
  <c r="P606" i="1"/>
  <c r="P605" i="1"/>
  <c r="P604" i="1"/>
  <c r="Q603" i="1"/>
  <c r="P603" i="1"/>
  <c r="Q602" i="1"/>
  <c r="P602" i="1"/>
  <c r="Q601" i="1"/>
  <c r="P601" i="1"/>
  <c r="L601" i="1"/>
  <c r="P600" i="1"/>
  <c r="P599" i="1"/>
  <c r="Q598" i="1"/>
  <c r="P598" i="1"/>
  <c r="L598" i="1"/>
  <c r="P597" i="1"/>
  <c r="L597" i="1"/>
  <c r="P596" i="1"/>
  <c r="Q595" i="1"/>
  <c r="P595" i="1"/>
  <c r="P594" i="1"/>
  <c r="P593" i="1"/>
  <c r="P592" i="1"/>
  <c r="P591" i="1"/>
  <c r="L591" i="1"/>
  <c r="Q590" i="1"/>
  <c r="P590" i="1"/>
  <c r="Q589" i="1"/>
  <c r="P589" i="1"/>
  <c r="Q588" i="1"/>
  <c r="P588" i="1"/>
  <c r="P587" i="1"/>
  <c r="P586" i="1"/>
  <c r="P585" i="1"/>
  <c r="L585" i="1"/>
  <c r="Q584" i="1"/>
  <c r="P584" i="1"/>
  <c r="P583" i="1"/>
  <c r="Q582" i="1"/>
  <c r="P582" i="1"/>
  <c r="Q581" i="1"/>
  <c r="P581" i="1"/>
  <c r="L581" i="1"/>
  <c r="Q580" i="1"/>
  <c r="P580" i="1"/>
  <c r="L580" i="1"/>
  <c r="Q579" i="1"/>
  <c r="P579" i="1"/>
  <c r="L579" i="1"/>
  <c r="Q578" i="1"/>
  <c r="P578" i="1"/>
  <c r="Q577" i="1"/>
  <c r="P577" i="1"/>
  <c r="P576" i="1"/>
  <c r="P575" i="1"/>
  <c r="P574" i="1"/>
  <c r="J574" i="1"/>
  <c r="P573" i="1"/>
  <c r="P572" i="1"/>
  <c r="P571" i="1"/>
  <c r="P570" i="1"/>
  <c r="P569" i="1"/>
  <c r="Q568" i="1"/>
  <c r="P568" i="1"/>
  <c r="L568" i="1"/>
  <c r="Q567" i="1"/>
  <c r="P567" i="1"/>
  <c r="M567" i="1"/>
  <c r="L567" i="1"/>
  <c r="Q566" i="1"/>
  <c r="P566" i="1"/>
  <c r="M566" i="1"/>
  <c r="P565" i="1"/>
  <c r="P564" i="1"/>
  <c r="P563" i="1"/>
  <c r="Q562" i="1"/>
  <c r="P562" i="1"/>
  <c r="J562" i="1"/>
  <c r="P561" i="1"/>
  <c r="J561" i="1"/>
  <c r="P560" i="1"/>
  <c r="P559" i="1"/>
  <c r="Q558" i="1"/>
  <c r="P558" i="1"/>
  <c r="P557" i="1"/>
  <c r="P556" i="1"/>
  <c r="J556" i="1"/>
  <c r="P555" i="1"/>
  <c r="P554" i="1"/>
  <c r="Q553" i="1"/>
  <c r="P553" i="1"/>
  <c r="P552" i="1"/>
  <c r="P551" i="1"/>
  <c r="J551" i="1"/>
  <c r="P550" i="1"/>
  <c r="P549" i="1"/>
  <c r="P548" i="1"/>
  <c r="Q547" i="1"/>
  <c r="P547" i="1"/>
  <c r="L547" i="1"/>
  <c r="P546" i="1"/>
  <c r="L546" i="1"/>
  <c r="P545" i="1"/>
  <c r="M545" i="1"/>
  <c r="P544" i="1"/>
  <c r="Q543" i="1"/>
  <c r="P543" i="1"/>
  <c r="P542" i="1"/>
  <c r="Q541" i="1"/>
  <c r="P541" i="1"/>
  <c r="Q540" i="1"/>
  <c r="P540" i="1"/>
  <c r="Q539" i="1"/>
  <c r="P539" i="1"/>
  <c r="L539" i="1"/>
  <c r="P538" i="1"/>
  <c r="P537" i="1"/>
  <c r="P536" i="1"/>
  <c r="Q535" i="1"/>
  <c r="P535" i="1"/>
  <c r="P534" i="1"/>
  <c r="Q533" i="1"/>
  <c r="P533" i="1"/>
  <c r="Q532" i="1"/>
  <c r="P532" i="1"/>
  <c r="Q531" i="1"/>
  <c r="P531" i="1"/>
  <c r="P530" i="1"/>
  <c r="L530" i="1"/>
  <c r="Q529" i="1"/>
  <c r="P529" i="1"/>
  <c r="Q528" i="1"/>
  <c r="P528" i="1"/>
  <c r="L528" i="1"/>
  <c r="P527" i="1"/>
  <c r="J527" i="1"/>
  <c r="Q526" i="1"/>
  <c r="P526" i="1"/>
  <c r="Q525" i="1"/>
  <c r="P525" i="1"/>
  <c r="Q524" i="1"/>
  <c r="P524" i="1"/>
  <c r="P523" i="1"/>
  <c r="P522" i="1"/>
  <c r="J522" i="1"/>
  <c r="Q521" i="1"/>
  <c r="P521" i="1"/>
  <c r="P520" i="1"/>
  <c r="P519" i="1"/>
  <c r="Q518" i="1"/>
  <c r="P518" i="1"/>
  <c r="P517" i="1"/>
  <c r="L517" i="1"/>
  <c r="Q516" i="1"/>
  <c r="L516" i="1"/>
  <c r="Q515" i="1"/>
  <c r="P515" i="1"/>
  <c r="L515" i="1"/>
  <c r="P514" i="1"/>
  <c r="P513" i="1"/>
  <c r="Q512" i="1"/>
  <c r="P512" i="1"/>
  <c r="P511" i="1"/>
  <c r="P510" i="1"/>
  <c r="P509" i="1"/>
  <c r="P508" i="1"/>
  <c r="L508" i="1"/>
  <c r="P507" i="1"/>
  <c r="Q506" i="1"/>
  <c r="P506" i="1"/>
  <c r="L506" i="1"/>
  <c r="P505" i="1"/>
  <c r="P504" i="1"/>
  <c r="P503" i="1"/>
  <c r="P502" i="1"/>
  <c r="Q501" i="1"/>
  <c r="P501" i="1"/>
  <c r="Q500" i="1"/>
  <c r="P500" i="1"/>
  <c r="Q499" i="1"/>
  <c r="P499" i="1"/>
  <c r="Q498" i="1"/>
  <c r="P498" i="1"/>
  <c r="Q497" i="1"/>
  <c r="P497" i="1"/>
  <c r="Q496" i="1"/>
  <c r="P496" i="1"/>
  <c r="P495" i="1"/>
  <c r="P494" i="1"/>
  <c r="Q493" i="1"/>
  <c r="P493" i="1"/>
  <c r="P492" i="1"/>
  <c r="L492" i="1"/>
  <c r="P491" i="1"/>
  <c r="Q490" i="1"/>
  <c r="P490" i="1"/>
  <c r="P489" i="1"/>
  <c r="P488" i="1"/>
  <c r="P487" i="1"/>
  <c r="P486" i="1"/>
  <c r="P485" i="1"/>
  <c r="P484" i="1"/>
  <c r="P483" i="1"/>
  <c r="P482" i="1"/>
  <c r="P481" i="1"/>
  <c r="P480" i="1"/>
  <c r="P479" i="1"/>
  <c r="P478" i="1"/>
  <c r="P477" i="1"/>
  <c r="P476" i="1"/>
  <c r="P475" i="1"/>
  <c r="P474" i="1"/>
  <c r="P473" i="1"/>
  <c r="P472" i="1"/>
  <c r="P471" i="1"/>
  <c r="P470" i="1"/>
  <c r="P469" i="1"/>
  <c r="P468" i="1"/>
  <c r="P467" i="1"/>
  <c r="Q466" i="1"/>
  <c r="P466" i="1"/>
  <c r="Q465" i="1"/>
  <c r="P465" i="1"/>
  <c r="P464" i="1"/>
  <c r="P463" i="1"/>
  <c r="Q462" i="1"/>
  <c r="P462" i="1"/>
  <c r="P461" i="1"/>
  <c r="Q460" i="1"/>
  <c r="P460" i="1"/>
  <c r="Q459" i="1"/>
  <c r="P459" i="1"/>
  <c r="Q458" i="1"/>
  <c r="P458" i="1"/>
  <c r="P457" i="1"/>
  <c r="J457" i="1"/>
  <c r="P456" i="1"/>
  <c r="P455" i="1"/>
  <c r="P454" i="1"/>
  <c r="P453" i="1"/>
  <c r="P452" i="1"/>
  <c r="P451" i="1"/>
  <c r="P450" i="1"/>
  <c r="P449" i="1"/>
  <c r="P448" i="1"/>
  <c r="P447" i="1"/>
  <c r="Q446" i="1"/>
  <c r="P446" i="1"/>
  <c r="Q445" i="1"/>
  <c r="P445" i="1"/>
  <c r="P444" i="1"/>
  <c r="P443" i="1"/>
  <c r="P442" i="1"/>
  <c r="P441" i="1"/>
  <c r="Q440" i="1"/>
  <c r="P440" i="1"/>
  <c r="L440" i="1"/>
  <c r="Q439" i="1"/>
  <c r="P439" i="1"/>
  <c r="J439" i="1"/>
  <c r="Q438" i="1"/>
  <c r="P438" i="1"/>
  <c r="Q437" i="1"/>
  <c r="P437" i="1"/>
  <c r="L437" i="1"/>
  <c r="Q436" i="1"/>
  <c r="P436" i="1"/>
  <c r="L436" i="1"/>
  <c r="Q435" i="1"/>
  <c r="P435" i="1"/>
  <c r="L435" i="1"/>
  <c r="Q434" i="1"/>
  <c r="P434" i="1"/>
  <c r="L434" i="1"/>
  <c r="J434" i="1"/>
  <c r="Q433" i="1"/>
  <c r="P433" i="1"/>
  <c r="L433" i="1"/>
  <c r="A433" i="1"/>
  <c r="Q432" i="1"/>
  <c r="P432" i="1"/>
  <c r="Q431" i="1"/>
  <c r="P431" i="1"/>
  <c r="J431" i="1"/>
  <c r="P430" i="1"/>
  <c r="Q429" i="1"/>
  <c r="P429" i="1"/>
  <c r="Q428" i="1"/>
  <c r="P428" i="1"/>
  <c r="P427" i="1"/>
  <c r="P426" i="1"/>
  <c r="Q425" i="1"/>
  <c r="P425" i="1"/>
  <c r="Q424" i="1"/>
  <c r="P424" i="1"/>
  <c r="J424" i="1"/>
  <c r="Q423" i="1"/>
  <c r="P423" i="1"/>
  <c r="P422" i="1"/>
  <c r="P421" i="1"/>
  <c r="J421" i="1"/>
  <c r="P420" i="1"/>
  <c r="P419" i="1"/>
  <c r="P418" i="1"/>
  <c r="P417" i="1"/>
  <c r="Q416" i="1"/>
  <c r="P416" i="1"/>
  <c r="L416" i="1"/>
  <c r="P415" i="1"/>
  <c r="P414" i="1"/>
  <c r="Q413" i="1"/>
  <c r="P413" i="1"/>
  <c r="L413" i="1"/>
  <c r="P412" i="1"/>
  <c r="P411" i="1"/>
  <c r="P410" i="1"/>
  <c r="L410" i="1"/>
  <c r="Q409" i="1"/>
  <c r="P409" i="1"/>
  <c r="Q408" i="1"/>
  <c r="P408" i="1"/>
  <c r="Q407" i="1"/>
  <c r="P407" i="1"/>
  <c r="L407" i="1"/>
  <c r="P406" i="1"/>
  <c r="Q405" i="1"/>
  <c r="P405" i="1"/>
  <c r="P404" i="1"/>
  <c r="L404" i="1"/>
  <c r="P403" i="1"/>
  <c r="P402" i="1"/>
  <c r="Q401" i="1"/>
  <c r="P401" i="1"/>
  <c r="P400" i="1"/>
  <c r="P399" i="1"/>
  <c r="L399" i="1"/>
  <c r="P398" i="1"/>
  <c r="P397" i="1"/>
  <c r="P396" i="1"/>
  <c r="P395" i="1"/>
  <c r="P394" i="1"/>
  <c r="P393" i="1"/>
  <c r="Q392" i="1"/>
  <c r="P392" i="1"/>
  <c r="J392" i="1"/>
  <c r="P391" i="1"/>
  <c r="P390" i="1"/>
  <c r="P389" i="1"/>
  <c r="Q388" i="1"/>
  <c r="P388" i="1"/>
  <c r="L388" i="1"/>
  <c r="Q387" i="1"/>
  <c r="P387" i="1"/>
  <c r="L387" i="1"/>
  <c r="P386" i="1"/>
  <c r="P385" i="1"/>
  <c r="P384" i="1"/>
  <c r="P383" i="1"/>
  <c r="P382" i="1"/>
  <c r="P381" i="1"/>
  <c r="Q380" i="1"/>
  <c r="P380" i="1"/>
  <c r="M380" i="1"/>
  <c r="Q379" i="1"/>
  <c r="P379" i="1"/>
  <c r="M379" i="1"/>
  <c r="K379" i="1"/>
  <c r="J379" i="1"/>
  <c r="Q378" i="1"/>
  <c r="P378" i="1"/>
  <c r="M378" i="1"/>
  <c r="J378" i="1"/>
  <c r="P377" i="1"/>
  <c r="J377" i="1"/>
  <c r="Q376" i="1"/>
  <c r="P376" i="1"/>
  <c r="Q375" i="1"/>
  <c r="P375" i="1"/>
  <c r="M375" i="1"/>
  <c r="Q374" i="1"/>
  <c r="P374" i="1"/>
  <c r="J374" i="1"/>
  <c r="Q373" i="1"/>
  <c r="P373" i="1"/>
  <c r="J373" i="1"/>
  <c r="Q372" i="1"/>
  <c r="P372" i="1"/>
  <c r="P371" i="1"/>
  <c r="P370" i="1"/>
  <c r="P369" i="1"/>
  <c r="P368" i="1"/>
  <c r="P367" i="1"/>
  <c r="Q366" i="1"/>
  <c r="P366" i="1"/>
  <c r="J366" i="1"/>
  <c r="Q365" i="1"/>
  <c r="P365" i="1"/>
  <c r="P364" i="1"/>
  <c r="P363" i="1"/>
  <c r="P362" i="1"/>
  <c r="P361" i="1"/>
  <c r="P360" i="1"/>
  <c r="P359" i="1"/>
  <c r="Q358" i="1"/>
  <c r="P358" i="1"/>
  <c r="J358" i="1"/>
  <c r="P357" i="1"/>
  <c r="P356" i="1"/>
  <c r="Q355" i="1"/>
  <c r="P355" i="1"/>
  <c r="J355" i="1"/>
  <c r="P354" i="1"/>
  <c r="P353" i="1"/>
  <c r="P352" i="1"/>
  <c r="P351" i="1"/>
  <c r="P350" i="1"/>
  <c r="Q349" i="1"/>
  <c r="P349" i="1"/>
  <c r="L349" i="1"/>
  <c r="J349" i="1"/>
  <c r="P348" i="1"/>
  <c r="P347" i="1"/>
  <c r="P346" i="1"/>
  <c r="P345" i="1"/>
  <c r="P344" i="1"/>
  <c r="P343" i="1"/>
  <c r="Q342" i="1"/>
  <c r="P342" i="1"/>
  <c r="L342" i="1"/>
  <c r="P341" i="1"/>
  <c r="P340" i="1"/>
  <c r="Q339" i="1"/>
  <c r="P339" i="1"/>
  <c r="P338" i="1"/>
  <c r="P337" i="1"/>
  <c r="P336" i="1"/>
  <c r="P335" i="1"/>
  <c r="Q334" i="1"/>
  <c r="P334" i="1"/>
  <c r="L334" i="1"/>
  <c r="J334" i="1"/>
  <c r="P333" i="1"/>
  <c r="M333" i="1"/>
  <c r="P332" i="1"/>
  <c r="M332" i="1"/>
  <c r="P331" i="1"/>
  <c r="P330" i="1"/>
  <c r="Q329" i="1"/>
  <c r="P329" i="1"/>
  <c r="P328" i="1"/>
  <c r="M328" i="1"/>
  <c r="P327" i="1"/>
  <c r="M327" i="1"/>
  <c r="P326" i="1"/>
  <c r="P325" i="1"/>
  <c r="P324" i="1"/>
  <c r="M324" i="1"/>
  <c r="P323" i="1"/>
  <c r="Q322" i="1"/>
  <c r="P322" i="1"/>
  <c r="P321" i="1"/>
  <c r="P320" i="1"/>
  <c r="P319" i="1"/>
  <c r="M319" i="1"/>
  <c r="J319" i="1"/>
  <c r="Q318" i="1"/>
  <c r="P318" i="1"/>
  <c r="P317" i="1"/>
  <c r="P316" i="1"/>
  <c r="P315" i="1"/>
  <c r="J315" i="1"/>
  <c r="P314" i="1"/>
  <c r="P313" i="1"/>
  <c r="J313" i="1"/>
  <c r="P312" i="1"/>
  <c r="P311" i="1"/>
  <c r="P310" i="1"/>
  <c r="Q309" i="1"/>
  <c r="P309" i="1"/>
  <c r="J309" i="1"/>
  <c r="Q308" i="1"/>
  <c r="P308" i="1"/>
  <c r="M308" i="1"/>
  <c r="J308" i="1"/>
  <c r="P307" i="1"/>
  <c r="P306" i="1"/>
  <c r="M306" i="1"/>
  <c r="Q305" i="1"/>
  <c r="P305" i="1"/>
  <c r="M305" i="1"/>
  <c r="J305" i="1"/>
  <c r="Q304" i="1"/>
  <c r="P304" i="1"/>
  <c r="M304" i="1"/>
  <c r="L304" i="1"/>
  <c r="J304" i="1"/>
  <c r="P303" i="1"/>
  <c r="L303" i="1"/>
  <c r="Q302" i="1"/>
  <c r="P302" i="1"/>
  <c r="L302" i="1"/>
  <c r="J302" i="1"/>
  <c r="P301" i="1"/>
  <c r="J301" i="1"/>
  <c r="P300" i="1"/>
  <c r="Q299" i="1"/>
  <c r="P299" i="1"/>
  <c r="L299" i="1"/>
  <c r="J299" i="1"/>
  <c r="P298" i="1"/>
  <c r="P297" i="1"/>
  <c r="Q296" i="1"/>
  <c r="P296" i="1"/>
  <c r="L296" i="1"/>
  <c r="J296" i="1"/>
  <c r="Q295" i="1"/>
  <c r="P295" i="1"/>
  <c r="P294" i="1"/>
  <c r="P293" i="1"/>
  <c r="M293" i="1"/>
  <c r="J293" i="1"/>
  <c r="P292" i="1"/>
  <c r="J292" i="1"/>
  <c r="P291" i="1"/>
  <c r="P290" i="1"/>
  <c r="P289" i="1"/>
  <c r="P288" i="1"/>
  <c r="P287" i="1"/>
  <c r="P286" i="1"/>
  <c r="M286" i="1"/>
  <c r="J286" i="1"/>
  <c r="P285" i="1"/>
  <c r="Q284" i="1"/>
  <c r="P284" i="1"/>
  <c r="L284" i="1"/>
  <c r="J284" i="1"/>
  <c r="P283" i="1"/>
  <c r="Q282" i="1"/>
  <c r="P282" i="1"/>
  <c r="L282" i="1"/>
  <c r="J282" i="1"/>
  <c r="P281" i="1"/>
  <c r="J281" i="1"/>
  <c r="P280" i="1"/>
  <c r="P279" i="1"/>
  <c r="P278" i="1"/>
  <c r="P277" i="1"/>
  <c r="P276" i="1"/>
  <c r="P275" i="1"/>
  <c r="Q274" i="1"/>
  <c r="P274" i="1"/>
  <c r="P273" i="1"/>
  <c r="J273" i="1"/>
  <c r="P272" i="1"/>
  <c r="Q271" i="1"/>
  <c r="P271" i="1"/>
  <c r="J271" i="1"/>
  <c r="Q270" i="1"/>
  <c r="P270" i="1"/>
  <c r="P269" i="1"/>
  <c r="Q268" i="1"/>
  <c r="P268" i="1"/>
  <c r="L268" i="1"/>
  <c r="J268" i="1"/>
  <c r="P267" i="1"/>
  <c r="P266" i="1"/>
  <c r="P265" i="1"/>
  <c r="J265" i="1"/>
  <c r="P264" i="1"/>
  <c r="M264" i="1"/>
  <c r="P263" i="1"/>
  <c r="P262" i="1"/>
  <c r="J262" i="1"/>
  <c r="P261" i="1"/>
  <c r="M261" i="1"/>
  <c r="P260" i="1"/>
  <c r="P259" i="1"/>
  <c r="P258" i="1"/>
  <c r="M258" i="1"/>
  <c r="Q257" i="1"/>
  <c r="P257" i="1"/>
  <c r="M257" i="1"/>
  <c r="P256" i="1"/>
  <c r="M256" i="1"/>
  <c r="P255" i="1"/>
  <c r="P254" i="1"/>
  <c r="P253" i="1"/>
  <c r="P252" i="1"/>
  <c r="L252" i="1"/>
  <c r="P251" i="1"/>
  <c r="Q250" i="1"/>
  <c r="P250" i="1"/>
  <c r="Q249" i="1"/>
  <c r="P249" i="1"/>
  <c r="P248" i="1"/>
  <c r="P247" i="1"/>
  <c r="P246" i="1"/>
  <c r="M246" i="1"/>
  <c r="P245" i="1"/>
  <c r="P244" i="1"/>
  <c r="P243" i="1"/>
  <c r="Q242" i="1"/>
  <c r="P242" i="1"/>
  <c r="J242" i="1"/>
  <c r="P241" i="1"/>
  <c r="Q240" i="1"/>
  <c r="P240" i="1"/>
  <c r="P239" i="1"/>
  <c r="Q238" i="1"/>
  <c r="P238" i="1"/>
  <c r="M238" i="1"/>
  <c r="P237" i="1"/>
  <c r="P236" i="1"/>
  <c r="P235" i="1"/>
  <c r="P234" i="1"/>
  <c r="L234" i="1"/>
  <c r="Q233" i="1"/>
  <c r="P233" i="1"/>
  <c r="J233" i="1"/>
  <c r="P232" i="1"/>
  <c r="P231" i="1"/>
  <c r="P230" i="1"/>
  <c r="P229" i="1"/>
  <c r="P228" i="1"/>
  <c r="P227" i="1"/>
  <c r="P226" i="1"/>
  <c r="P225" i="1"/>
  <c r="P224" i="1"/>
  <c r="P223" i="1"/>
  <c r="P222" i="1"/>
  <c r="L222" i="1"/>
  <c r="P221" i="1"/>
  <c r="L221" i="1"/>
  <c r="P220" i="1"/>
  <c r="J220" i="1"/>
  <c r="P219" i="1"/>
  <c r="J219" i="1"/>
  <c r="P218" i="1"/>
  <c r="L218" i="1"/>
  <c r="J218" i="1"/>
  <c r="Q217" i="1"/>
  <c r="P217" i="1"/>
  <c r="J217" i="1"/>
  <c r="P216" i="1"/>
  <c r="P215" i="1"/>
  <c r="P214" i="1"/>
  <c r="P213" i="1"/>
  <c r="Q212" i="1"/>
  <c r="P212" i="1"/>
  <c r="M212" i="1"/>
  <c r="P211" i="1"/>
  <c r="P210" i="1"/>
  <c r="P209" i="1"/>
  <c r="P208" i="1"/>
  <c r="P207" i="1"/>
  <c r="Q206" i="1"/>
  <c r="P206" i="1"/>
  <c r="M206" i="1"/>
  <c r="Q205" i="1"/>
  <c r="P205" i="1"/>
  <c r="P204" i="1"/>
  <c r="P203" i="1"/>
  <c r="P202" i="1"/>
  <c r="P201" i="1"/>
  <c r="P200" i="1"/>
  <c r="M200" i="1"/>
  <c r="Q199" i="1"/>
  <c r="P199" i="1"/>
  <c r="Q198" i="1"/>
  <c r="P198" i="1"/>
  <c r="Q197" i="1"/>
  <c r="P197" i="1"/>
  <c r="J197" i="1"/>
  <c r="P196" i="1"/>
  <c r="P195" i="1"/>
  <c r="P194" i="1"/>
  <c r="M194" i="1"/>
  <c r="Q193" i="1"/>
  <c r="P193" i="1"/>
  <c r="M193" i="1"/>
  <c r="J193" i="1"/>
  <c r="P192" i="1"/>
  <c r="P191" i="1"/>
  <c r="Q190" i="1"/>
  <c r="P190" i="1"/>
  <c r="Q189" i="1"/>
  <c r="P189" i="1"/>
  <c r="Q188" i="1"/>
  <c r="P188" i="1"/>
  <c r="Q187" i="1"/>
  <c r="P187" i="1"/>
  <c r="Q186" i="1"/>
  <c r="P186" i="1"/>
  <c r="Q185" i="1"/>
  <c r="P185" i="1"/>
  <c r="M185" i="1"/>
  <c r="P184" i="1"/>
  <c r="Q183" i="1"/>
  <c r="P183" i="1"/>
  <c r="Q182" i="1"/>
  <c r="P182" i="1"/>
  <c r="Q181" i="1"/>
  <c r="P181" i="1"/>
  <c r="Q180" i="1"/>
  <c r="P180" i="1"/>
  <c r="Q179" i="1"/>
  <c r="P179" i="1"/>
  <c r="M179" i="1"/>
  <c r="Q178" i="1"/>
  <c r="P178" i="1"/>
  <c r="M178" i="1"/>
  <c r="P177" i="1"/>
  <c r="P176" i="1"/>
  <c r="M176" i="1"/>
  <c r="Q175" i="1"/>
  <c r="P175" i="1"/>
  <c r="Q174" i="1"/>
  <c r="P174" i="1"/>
  <c r="Q173" i="1"/>
  <c r="P173" i="1"/>
  <c r="Q172" i="1"/>
  <c r="P172" i="1"/>
  <c r="Q171" i="1"/>
  <c r="P171" i="1"/>
  <c r="Q170" i="1"/>
  <c r="P170" i="1"/>
  <c r="M170" i="1"/>
  <c r="P169" i="1"/>
  <c r="M169" i="1"/>
  <c r="P168" i="1"/>
  <c r="P167" i="1"/>
  <c r="P166" i="1"/>
  <c r="P165" i="1"/>
  <c r="P164" i="1"/>
  <c r="P163" i="1"/>
  <c r="P162" i="1"/>
  <c r="M162" i="1"/>
  <c r="Q161" i="1"/>
  <c r="P161" i="1"/>
  <c r="Q160" i="1"/>
  <c r="P160" i="1"/>
  <c r="M160" i="1"/>
  <c r="L160" i="1"/>
  <c r="P159" i="1"/>
  <c r="Q158" i="1"/>
  <c r="P158" i="1"/>
  <c r="Q157" i="1"/>
  <c r="P157" i="1"/>
  <c r="Q156" i="1"/>
  <c r="P156" i="1"/>
  <c r="Q155" i="1"/>
  <c r="P155" i="1"/>
  <c r="Q154" i="1"/>
  <c r="P154" i="1"/>
  <c r="M154" i="1"/>
  <c r="P153" i="1"/>
  <c r="Q152" i="1"/>
  <c r="P152" i="1"/>
  <c r="Q151" i="1"/>
  <c r="P151" i="1"/>
  <c r="Q150" i="1"/>
  <c r="P150" i="1"/>
  <c r="Q149" i="1"/>
  <c r="P149" i="1"/>
  <c r="Q148" i="1"/>
  <c r="P148" i="1"/>
  <c r="M148" i="1"/>
  <c r="P147" i="1"/>
  <c r="Q146" i="1"/>
  <c r="P146" i="1"/>
  <c r="Q145" i="1"/>
  <c r="P145" i="1"/>
  <c r="Q144" i="1"/>
  <c r="P144" i="1"/>
  <c r="Q143" i="1"/>
  <c r="P143" i="1"/>
  <c r="Q142" i="1"/>
  <c r="P142" i="1"/>
  <c r="M142" i="1"/>
  <c r="P141" i="1"/>
  <c r="P140" i="1"/>
  <c r="Q139" i="1"/>
  <c r="P139" i="1"/>
  <c r="Q138" i="1"/>
  <c r="P138" i="1"/>
  <c r="Q137" i="1"/>
  <c r="P137" i="1"/>
  <c r="Q136" i="1"/>
  <c r="P136" i="1"/>
  <c r="Q135" i="1"/>
  <c r="P135" i="1"/>
  <c r="Q134" i="1"/>
  <c r="P134" i="1"/>
  <c r="Q133" i="1"/>
  <c r="P133" i="1"/>
  <c r="Q132" i="1"/>
  <c r="P132" i="1"/>
  <c r="M132" i="1"/>
  <c r="Q131" i="1"/>
  <c r="P131" i="1"/>
  <c r="P130" i="1"/>
  <c r="P129" i="1"/>
  <c r="P128" i="1"/>
  <c r="P127" i="1"/>
  <c r="Q126" i="1"/>
  <c r="P126" i="1"/>
  <c r="M126" i="1"/>
  <c r="Q125" i="1"/>
  <c r="P125" i="1"/>
  <c r="M125" i="1"/>
  <c r="Q124" i="1"/>
  <c r="P124" i="1"/>
  <c r="M124" i="1"/>
  <c r="J124" i="1"/>
  <c r="P123" i="1"/>
  <c r="P122" i="1"/>
  <c r="M122" i="1"/>
  <c r="Q121" i="1"/>
  <c r="P121" i="1"/>
  <c r="Q120" i="1"/>
  <c r="P120" i="1"/>
  <c r="Q119" i="1"/>
  <c r="P119" i="1"/>
  <c r="Q118" i="1"/>
  <c r="P118" i="1"/>
  <c r="Q117" i="1"/>
  <c r="P117" i="1"/>
  <c r="Q116" i="1"/>
  <c r="P116" i="1"/>
  <c r="M116" i="1"/>
  <c r="P115" i="1"/>
  <c r="P114" i="1"/>
  <c r="P113" i="1"/>
  <c r="Q112" i="1"/>
  <c r="P112" i="1"/>
  <c r="Q111" i="1"/>
  <c r="P111" i="1"/>
  <c r="Q110" i="1"/>
  <c r="P110" i="1"/>
  <c r="P109" i="1"/>
  <c r="M107" i="1"/>
  <c r="P106" i="1"/>
  <c r="P105" i="1"/>
  <c r="Q104" i="1"/>
  <c r="P104" i="1"/>
  <c r="Q103" i="1"/>
  <c r="P103" i="1"/>
  <c r="Q102" i="1"/>
  <c r="P102" i="1"/>
  <c r="Q101" i="1"/>
  <c r="P101" i="1"/>
  <c r="P100" i="1"/>
  <c r="Q99" i="1"/>
  <c r="P99" i="1"/>
  <c r="Q98" i="1"/>
  <c r="P98" i="1"/>
  <c r="L98" i="1"/>
  <c r="P97" i="1"/>
  <c r="Q96" i="1"/>
  <c r="P96" i="1"/>
  <c r="Q95" i="1"/>
  <c r="P95" i="1"/>
  <c r="M95" i="1"/>
  <c r="L95" i="1"/>
  <c r="P94" i="1"/>
  <c r="Q93" i="1"/>
  <c r="P93" i="1"/>
  <c r="Q92" i="1"/>
  <c r="P92" i="1"/>
  <c r="Q91" i="1"/>
  <c r="P91" i="1"/>
  <c r="Q90" i="1"/>
  <c r="P90" i="1"/>
  <c r="M90" i="1"/>
  <c r="Q89" i="1"/>
  <c r="P89" i="1"/>
  <c r="Q88" i="1"/>
  <c r="P88" i="1"/>
  <c r="Q87" i="1"/>
  <c r="P87" i="1"/>
  <c r="Q86" i="1"/>
  <c r="P86" i="1"/>
  <c r="M86" i="1"/>
  <c r="L86" i="1"/>
  <c r="P85" i="1"/>
  <c r="Q84" i="1"/>
  <c r="P84" i="1"/>
  <c r="Q83" i="1"/>
  <c r="Q82" i="1"/>
  <c r="P82" i="1"/>
  <c r="M82" i="1"/>
  <c r="L82" i="1"/>
  <c r="Q81" i="1"/>
  <c r="P81" i="1"/>
  <c r="Q80" i="1"/>
  <c r="P80" i="1"/>
  <c r="Q79" i="1"/>
  <c r="P79" i="1"/>
  <c r="M79" i="1"/>
  <c r="P78" i="1"/>
  <c r="Q77" i="1"/>
  <c r="P77" i="1"/>
  <c r="Q76" i="1"/>
  <c r="P76" i="1"/>
  <c r="L76" i="1"/>
  <c r="Q75" i="1"/>
  <c r="P75" i="1"/>
  <c r="L75" i="1"/>
  <c r="Q74" i="1"/>
  <c r="P74" i="1"/>
  <c r="M74" i="1"/>
  <c r="Q73" i="1"/>
  <c r="P73" i="1"/>
  <c r="Q72" i="1"/>
  <c r="P72" i="1"/>
  <c r="M72" i="1"/>
  <c r="P71" i="1"/>
  <c r="P70" i="1"/>
  <c r="P69" i="1"/>
  <c r="Q68" i="1"/>
  <c r="P68" i="1"/>
  <c r="J68" i="1"/>
  <c r="P67" i="1"/>
  <c r="Q66" i="1"/>
  <c r="P66" i="1"/>
  <c r="P65" i="1"/>
  <c r="P64" i="1"/>
  <c r="P63" i="1"/>
  <c r="P62" i="1"/>
  <c r="P61" i="1"/>
  <c r="P60" i="1"/>
  <c r="P59" i="1"/>
  <c r="P58" i="1"/>
  <c r="Q57" i="1"/>
  <c r="P57" i="1"/>
  <c r="J57" i="1"/>
  <c r="Q56" i="1"/>
  <c r="P56" i="1"/>
  <c r="J56" i="1"/>
  <c r="Q55" i="1"/>
  <c r="P55" i="1"/>
  <c r="Q54" i="1"/>
  <c r="P54" i="1"/>
  <c r="M54" i="1"/>
  <c r="J54" i="1"/>
  <c r="P53" i="1"/>
  <c r="P52" i="1"/>
  <c r="L52" i="1"/>
  <c r="Q51" i="1"/>
  <c r="P51" i="1"/>
  <c r="L51" i="1"/>
  <c r="J51" i="1"/>
  <c r="Q50" i="1"/>
  <c r="P50" i="1"/>
  <c r="Q49" i="1"/>
  <c r="P49" i="1"/>
  <c r="M49" i="1"/>
  <c r="L49" i="1"/>
  <c r="J49" i="1"/>
  <c r="Q48" i="1"/>
  <c r="P48" i="1"/>
  <c r="L48" i="1"/>
  <c r="Q47" i="1"/>
  <c r="P47" i="1"/>
  <c r="Q46" i="1"/>
  <c r="P46" i="1"/>
  <c r="L46" i="1"/>
  <c r="Q45" i="1"/>
  <c r="P45" i="1"/>
  <c r="M45" i="1"/>
  <c r="L45" i="1"/>
  <c r="J45" i="1"/>
  <c r="Q44" i="1"/>
  <c r="P44" i="1"/>
  <c r="M44" i="1"/>
  <c r="J44" i="1"/>
  <c r="P43" i="1"/>
  <c r="Q42" i="1"/>
  <c r="P42" i="1"/>
  <c r="Q41" i="1"/>
  <c r="P41" i="1"/>
  <c r="J41" i="1"/>
  <c r="P40" i="1"/>
  <c r="L40" i="1"/>
  <c r="Q39" i="1"/>
  <c r="P39" i="1"/>
  <c r="L39" i="1"/>
  <c r="J39" i="1"/>
  <c r="P38" i="1"/>
  <c r="Q37" i="1"/>
  <c r="P37" i="1"/>
  <c r="Q36" i="1"/>
  <c r="P36" i="1"/>
  <c r="Q35" i="1"/>
  <c r="P35" i="1"/>
  <c r="M35" i="1"/>
  <c r="J35" i="1"/>
  <c r="Q34" i="1"/>
  <c r="P34" i="1"/>
  <c r="L34" i="1"/>
  <c r="Q33" i="1"/>
  <c r="P33" i="1"/>
  <c r="M33" i="1"/>
  <c r="J33" i="1"/>
  <c r="Q32" i="1"/>
  <c r="P32" i="1"/>
  <c r="L32" i="1"/>
  <c r="Q31" i="1"/>
  <c r="P31" i="1"/>
  <c r="Q30" i="1"/>
  <c r="P30" i="1"/>
  <c r="Q29" i="1"/>
  <c r="P29" i="1"/>
  <c r="L29" i="1"/>
  <c r="Q28" i="1"/>
  <c r="P28" i="1"/>
  <c r="Q27" i="1"/>
  <c r="P27" i="1"/>
  <c r="Q26" i="1"/>
  <c r="P26" i="1"/>
  <c r="M26" i="1"/>
  <c r="L26" i="1"/>
  <c r="J26" i="1"/>
  <c r="P25" i="1"/>
  <c r="P24" i="1"/>
  <c r="P23" i="1"/>
  <c r="Q22" i="1"/>
  <c r="P22" i="1"/>
  <c r="Q21" i="1"/>
  <c r="P21" i="1"/>
  <c r="Q20" i="1"/>
  <c r="P20" i="1"/>
  <c r="Q19" i="1"/>
  <c r="P19" i="1"/>
  <c r="Q18" i="1"/>
  <c r="P18" i="1"/>
  <c r="Q17" i="1"/>
  <c r="P17" i="1"/>
  <c r="L17" i="1"/>
  <c r="Q16" i="1"/>
  <c r="P16" i="1"/>
  <c r="J16" i="1"/>
  <c r="P15" i="1"/>
  <c r="Q14" i="1"/>
  <c r="P14" i="1"/>
  <c r="J14" i="1"/>
  <c r="Q13" i="1"/>
  <c r="P13" i="1"/>
  <c r="Q12" i="1"/>
  <c r="P12" i="1"/>
  <c r="Q11" i="1"/>
  <c r="P11" i="1"/>
  <c r="J11" i="1"/>
  <c r="P10" i="1"/>
  <c r="Q9" i="1"/>
  <c r="P9" i="1"/>
  <c r="L9" i="1"/>
  <c r="J9" i="1"/>
  <c r="Q8" i="1"/>
  <c r="P8" i="1"/>
  <c r="J8" i="1"/>
  <c r="Q7" i="1"/>
  <c r="P7" i="1"/>
  <c r="Q6" i="1"/>
  <c r="P6" i="1"/>
  <c r="J6" i="1"/>
  <c r="P5" i="1"/>
  <c r="P4" i="1"/>
  <c r="Q3" i="1"/>
  <c r="P3" i="1"/>
  <c r="J3" i="1"/>
  <c r="Q2" i="1"/>
  <c r="P2" i="1"/>
  <c r="L2" i="1"/>
  <c r="J2" i="1"/>
</calcChain>
</file>

<file path=xl/sharedStrings.xml><?xml version="1.0" encoding="utf-8"?>
<sst xmlns="http://schemas.openxmlformats.org/spreadsheetml/2006/main" count="11449" uniqueCount="4673">
  <si>
    <t>時代</t>
  </si>
  <si>
    <t>世紀</t>
  </si>
  <si>
    <t>元号</t>
    <rPh sb="0" eb="2">
      <t>ゲンゴウ</t>
    </rPh>
    <phoneticPr fontId="2"/>
  </si>
  <si>
    <t>西暦</t>
    <rPh sb="0" eb="2">
      <t>セイレキ</t>
    </rPh>
    <phoneticPr fontId="2"/>
  </si>
  <si>
    <t>分類</t>
  </si>
  <si>
    <t>日本のおもなできごと
＝教科書に載っている出来事</t>
    <phoneticPr fontId="2"/>
  </si>
  <si>
    <t>地域のおもなできごと</t>
  </si>
  <si>
    <t>小学校区</t>
  </si>
  <si>
    <t>地名</t>
    <phoneticPr fontId="2"/>
  </si>
  <si>
    <t>場所（地名）</t>
    <phoneticPr fontId="2"/>
  </si>
  <si>
    <t>人</t>
  </si>
  <si>
    <t>亀山市歴史博物館が持っている実物資料・レプリカ・解説図表パネル</t>
  </si>
  <si>
    <t>野外など亀山市歴史博物館にはない実物資料</t>
  </si>
  <si>
    <t>こども歴史館</t>
    <rPh sb="3" eb="6">
      <t>レキシカン</t>
    </rPh>
    <phoneticPr fontId="2"/>
  </si>
  <si>
    <t>こども歴史館
HPアドレス</t>
    <rPh sb="3" eb="6">
      <t>レキシカン</t>
    </rPh>
    <phoneticPr fontId="2"/>
  </si>
  <si>
    <t>こども歴史館リンク</t>
    <rPh sb="3" eb="6">
      <t>レキシカン</t>
    </rPh>
    <phoneticPr fontId="2"/>
  </si>
  <si>
    <t>参考リンク</t>
    <rPh sb="0" eb="2">
      <t>サンコウ</t>
    </rPh>
    <phoneticPr fontId="2"/>
  </si>
  <si>
    <t>参考文献</t>
  </si>
  <si>
    <t>旧石器時代</t>
  </si>
  <si>
    <t>1万2000年ほど前</t>
  </si>
  <si>
    <t>●</t>
  </si>
  <si>
    <t>いまの日本列島の形ができる</t>
    <phoneticPr fontId="2"/>
  </si>
  <si>
    <t>亀山に人が住みはじめる</t>
  </si>
  <si>
    <t>亀山西
　　　　</t>
    <phoneticPr fontId="2"/>
  </si>
  <si>
    <t>亀田町</t>
    <phoneticPr fontId="2"/>
  </si>
  <si>
    <t>日本の歴史の中の亀山／古代の亀山／亀山のあけぼの／人が住み始めたころの亀山／縄文時代初めごろのくらし</t>
    <rPh sb="0" eb="2">
      <t>ニホン</t>
    </rPh>
    <rPh sb="3" eb="5">
      <t>レキシ</t>
    </rPh>
    <rPh sb="6" eb="7">
      <t>ナカ</t>
    </rPh>
    <rPh sb="8" eb="10">
      <t>カメヤマ</t>
    </rPh>
    <rPh sb="11" eb="13">
      <t>コダイ</t>
    </rPh>
    <rPh sb="14" eb="16">
      <t>カメヤマ</t>
    </rPh>
    <rPh sb="17" eb="19">
      <t>カメヤマ</t>
    </rPh>
    <rPh sb="25" eb="26">
      <t>ヒト</t>
    </rPh>
    <rPh sb="27" eb="28">
      <t>ス</t>
    </rPh>
    <rPh sb="29" eb="30">
      <t>ハジ</t>
    </rPh>
    <rPh sb="35" eb="37">
      <t>カメヤマ</t>
    </rPh>
    <rPh sb="38" eb="40">
      <t>ジョウモン</t>
    </rPh>
    <rPh sb="40" eb="42">
      <t>ジダイ</t>
    </rPh>
    <rPh sb="42" eb="43">
      <t>ハジ</t>
    </rPh>
    <phoneticPr fontId="2"/>
  </si>
  <si>
    <t>http://kameyamarekihaku.jp/kodomo/w_e_b/rekishi/kodai/akebono/kameyama/page001.html</t>
  </si>
  <si>
    <t>『上椎木古墳・谷山古墳・正知浦古墳群・正知浦遺跡』
『亀山市史』考古分野</t>
    <rPh sb="1" eb="2">
      <t>ウエ</t>
    </rPh>
    <rPh sb="2" eb="3">
      <t>シイ</t>
    </rPh>
    <rPh sb="3" eb="4">
      <t>キ</t>
    </rPh>
    <rPh sb="4" eb="6">
      <t>コフン</t>
    </rPh>
    <rPh sb="7" eb="9">
      <t>タニヤマ</t>
    </rPh>
    <rPh sb="9" eb="11">
      <t>コフン</t>
    </rPh>
    <rPh sb="15" eb="17">
      <t>コフン</t>
    </rPh>
    <rPh sb="17" eb="18">
      <t>グン</t>
    </rPh>
    <rPh sb="26" eb="36">
      <t>カ</t>
    </rPh>
    <phoneticPr fontId="2"/>
  </si>
  <si>
    <t>関</t>
  </si>
  <si>
    <t>関町鷲山</t>
  </si>
  <si>
    <t>旧石器時代</t>
    <phoneticPr fontId="2"/>
  </si>
  <si>
    <t>狩リや採集をしてくらす</t>
  </si>
  <si>
    <t>縄文時代</t>
  </si>
  <si>
    <t>9000年前頃</t>
    <rPh sb="6" eb="7">
      <t>コロ</t>
    </rPh>
    <phoneticPr fontId="2"/>
  </si>
  <si>
    <t>◇</t>
  </si>
  <si>
    <t>石器・骨角器や縄文土器が使われる</t>
  </si>
  <si>
    <t>日本の歴史の中の亀山／古代の亀山／亀山のあけぼの／人が住み始めたころの亀山／縄文時代の暮らし／縄文時代早期</t>
    <rPh sb="47" eb="49">
      <t>ジョウモン</t>
    </rPh>
    <rPh sb="49" eb="51">
      <t>ジダイ</t>
    </rPh>
    <rPh sb="51" eb="53">
      <t>ソウキ</t>
    </rPh>
    <phoneticPr fontId="2"/>
  </si>
  <si>
    <t>http://kameyamarekihaku.jp/kodomo/w_e_b/rekishi/kodai/akebono/kameyama/page002.html</t>
  </si>
  <si>
    <t>9000年前ごろ</t>
  </si>
  <si>
    <t>大鼻遺跡などに集落がつくられる</t>
  </si>
  <si>
    <t>神辺</t>
  </si>
  <si>
    <t>太岡寺町</t>
  </si>
  <si>
    <t>土偶（レプリカ）・押型文土器</t>
    <phoneticPr fontId="2"/>
  </si>
  <si>
    <t>日本の歴史の中の亀山／古代の亀山／亀山のあけぼの／人が住み始めたころの亀山／縄文時代の暮らし／大鼻遺跡</t>
    <rPh sb="38" eb="40">
      <t>ジョウモン</t>
    </rPh>
    <rPh sb="40" eb="42">
      <t>ジダイ</t>
    </rPh>
    <rPh sb="43" eb="44">
      <t>ク</t>
    </rPh>
    <rPh sb="47" eb="48">
      <t>オオ</t>
    </rPh>
    <rPh sb="48" eb="49">
      <t>ハナ</t>
    </rPh>
    <rPh sb="49" eb="51">
      <t>イセキ</t>
    </rPh>
    <phoneticPr fontId="2"/>
  </si>
  <si>
    <t>http://kameyamarekihaku.jp/kodomo/w_e_b/rekishi/kodai/akebono/jomon/page001.html</t>
  </si>
  <si>
    <t>『大鼻遺跡』
『亀山市史』考古分野</t>
    <rPh sb="1" eb="2">
      <t>オオ</t>
    </rPh>
    <rPh sb="2" eb="3">
      <t>ハナ</t>
    </rPh>
    <rPh sb="3" eb="5">
      <t>イセキ</t>
    </rPh>
    <rPh sb="7" eb="17">
      <t>カ</t>
    </rPh>
    <phoneticPr fontId="2"/>
  </si>
  <si>
    <t>4500年前頃</t>
    <rPh sb="6" eb="7">
      <t>コロ</t>
    </rPh>
    <phoneticPr fontId="2"/>
  </si>
  <si>
    <t>市内の各地に集落がつくられる</t>
  </si>
  <si>
    <t>川崎</t>
  </si>
  <si>
    <t>川崎町</t>
  </si>
  <si>
    <t>縄文土器・石棒</t>
  </si>
  <si>
    <t>日本の歴史の中の亀山／古代の亀山／亀山のあけぼの／人が住み始めたころの亀山／縄文時代の暮らし／地蔵僧遺跡</t>
    <rPh sb="47" eb="49">
      <t>ジゾウ</t>
    </rPh>
    <rPh sb="49" eb="50">
      <t>ソウ</t>
    </rPh>
    <rPh sb="50" eb="52">
      <t>イセキ</t>
    </rPh>
    <phoneticPr fontId="2"/>
  </si>
  <si>
    <t>http://kameyamarekihaku.jp/kodomo/w_e_b/rekishi/kodai/akebono/jomon/page003.html</t>
  </si>
  <si>
    <t>『地蔵僧遺跡発掘調査報告』
『亀山市史』考古分野</t>
    <rPh sb="1" eb="3">
      <t>ジゾウ</t>
    </rPh>
    <rPh sb="3" eb="4">
      <t>ソウ</t>
    </rPh>
    <rPh sb="4" eb="6">
      <t>イセキ</t>
    </rPh>
    <rPh sb="6" eb="8">
      <t>ハックツ</t>
    </rPh>
    <rPh sb="8" eb="10">
      <t>チョウサ</t>
    </rPh>
    <rPh sb="10" eb="12">
      <t>ホウコク</t>
    </rPh>
    <rPh sb="14" eb="24">
      <t>カ</t>
    </rPh>
    <phoneticPr fontId="2"/>
  </si>
  <si>
    <t>神辺</t>
    <rPh sb="0" eb="2">
      <t>カンナベ</t>
    </rPh>
    <phoneticPr fontId="2"/>
  </si>
  <si>
    <t>山下町</t>
    <rPh sb="0" eb="3">
      <t>ヤマシタチョウ</t>
    </rPh>
    <phoneticPr fontId="2"/>
  </si>
  <si>
    <t>日本の歴史の中の亀山／古代の亀山／亀山のあけぼの／人が住み始めたころの亀山／縄文時代の暮らし／沢遺跡</t>
    <rPh sb="47" eb="48">
      <t>サワ</t>
    </rPh>
    <rPh sb="48" eb="50">
      <t>イセキ</t>
    </rPh>
    <phoneticPr fontId="2"/>
  </si>
  <si>
    <t>http://kameyamarekihaku.jp/kodomo/w_e_b/rekishi/kodai/akebono/jomon/page002.html</t>
  </si>
  <si>
    <t>『沢遺跡Ⅰ・Ⅱ』
『亀山市史』考古分野</t>
    <rPh sb="1" eb="2">
      <t>サワ</t>
    </rPh>
    <rPh sb="2" eb="4">
      <t>イセキ</t>
    </rPh>
    <rPh sb="9" eb="19">
      <t>カ</t>
    </rPh>
    <phoneticPr fontId="2"/>
  </si>
  <si>
    <t>▲</t>
  </si>
  <si>
    <t>大陸から米づくリや青銅器・鉄器が伝わる</t>
  </si>
  <si>
    <t>弥生時代</t>
    <rPh sb="0" eb="2">
      <t>ヤヨイ</t>
    </rPh>
    <phoneticPr fontId="2"/>
  </si>
  <si>
    <t>米づくリがはじまって,「むら」ができる</t>
  </si>
  <si>
    <t>木下町</t>
    <rPh sb="0" eb="3">
      <t>キノシタチョウチョウ</t>
    </rPh>
    <phoneticPr fontId="2"/>
  </si>
  <si>
    <t>弥生土器・石包丁</t>
  </si>
  <si>
    <t>日本の歴史の中の亀山／古代の亀山／亀山のあけぼの／弥生時代の暮らし／弥生文化と亀山／於登志遺跡</t>
    <rPh sb="42" eb="43">
      <t>オ</t>
    </rPh>
    <rPh sb="43" eb="44">
      <t>ト</t>
    </rPh>
    <rPh sb="44" eb="45">
      <t>シ</t>
    </rPh>
    <rPh sb="45" eb="47">
      <t>イセキ</t>
    </rPh>
    <phoneticPr fontId="2"/>
  </si>
  <si>
    <t>http://kameyamarekihaku.jp/kodomo/w_e_b/rekishi/kodai/akebono/yayoi/bunka/page003.html</t>
  </si>
  <si>
    <t>『於登志遺跡』
『亀山市史』考古分野</t>
    <rPh sb="1" eb="2">
      <t>オ</t>
    </rPh>
    <rPh sb="2" eb="3">
      <t>ノボル</t>
    </rPh>
    <rPh sb="3" eb="4">
      <t>シ</t>
    </rPh>
    <rPh sb="4" eb="6">
      <t>イセキ</t>
    </rPh>
    <rPh sb="8" eb="18">
      <t>カ</t>
    </rPh>
    <phoneticPr fontId="2"/>
  </si>
  <si>
    <t>弥生時代</t>
  </si>
  <si>
    <t>弥生土器や青銅器・鉄器が使われる</t>
  </si>
  <si>
    <t>弥生土器</t>
    <phoneticPr fontId="2"/>
  </si>
  <si>
    <t>日本の歴史の中の亀山／古代の亀山／亀山のあけぼの／弥生時代の暮らし／弥生文化と亀山／地蔵僧遺跡</t>
    <phoneticPr fontId="2"/>
  </si>
  <si>
    <t>倭の奴国の王が後漢に使いを送る</t>
  </si>
  <si>
    <t>後漢書地理志(二十一史）</t>
    <rPh sb="7" eb="10">
      <t>２１</t>
    </rPh>
    <rPh sb="10" eb="11">
      <t>シ</t>
    </rPh>
    <phoneticPr fontId="2"/>
  </si>
  <si>
    <t>小さな「国」が各地にできて.豪族が治める</t>
  </si>
  <si>
    <t>木下町</t>
    <rPh sb="0" eb="2">
      <t>キノシタ</t>
    </rPh>
    <rPh sb="2" eb="3">
      <t>マチ</t>
    </rPh>
    <phoneticPr fontId="2"/>
  </si>
  <si>
    <t>弥生土器・石鏃・遺跡全景（高地性集落）写真</t>
    <rPh sb="0" eb="2">
      <t>ヤヨイ</t>
    </rPh>
    <rPh sb="2" eb="4">
      <t>ドキ</t>
    </rPh>
    <rPh sb="5" eb="7">
      <t>セキゾク</t>
    </rPh>
    <rPh sb="8" eb="10">
      <t>イセキ</t>
    </rPh>
    <rPh sb="10" eb="12">
      <t>ゼンケイ</t>
    </rPh>
    <rPh sb="13" eb="16">
      <t>コウチセイ</t>
    </rPh>
    <rPh sb="16" eb="18">
      <t>シュウラク</t>
    </rPh>
    <rPh sb="19" eb="21">
      <t>シャシン</t>
    </rPh>
    <phoneticPr fontId="2"/>
  </si>
  <si>
    <t>日本の歴史の中の亀山／古代の亀山／亀山のあけぼの／弥生時代の暮らし／邪馬台国の時代と亀山／勢武谷遺跡</t>
    <rPh sb="25" eb="29">
      <t>ヤヨイジダイ</t>
    </rPh>
    <rPh sb="30" eb="31">
      <t>ク</t>
    </rPh>
    <rPh sb="34" eb="38">
      <t>ヤマタイコク</t>
    </rPh>
    <rPh sb="39" eb="41">
      <t>ジダイ</t>
    </rPh>
    <rPh sb="42" eb="44">
      <t>カメヤマ</t>
    </rPh>
    <rPh sb="45" eb="46">
      <t>セ</t>
    </rPh>
    <rPh sb="46" eb="47">
      <t>ブ</t>
    </rPh>
    <rPh sb="47" eb="48">
      <t>ヤ</t>
    </rPh>
    <rPh sb="48" eb="50">
      <t>イセキ</t>
    </rPh>
    <phoneticPr fontId="2"/>
  </si>
  <si>
    <t>http://kameyamarekihaku.jp/kodomo/w_e_b/rekishi/kodai/akebono/yayoi/yamataikoku/page001.html</t>
  </si>
  <si>
    <t>『近畿自動車道名古屋神戸線他１路線発掘調査報告書Ⅲ』
『亀山市史』考古分野</t>
    <rPh sb="1" eb="3">
      <t>キンキ</t>
    </rPh>
    <rPh sb="3" eb="6">
      <t>ジドウシャ</t>
    </rPh>
    <rPh sb="6" eb="7">
      <t>ドウ</t>
    </rPh>
    <rPh sb="7" eb="10">
      <t>ナゴヤ</t>
    </rPh>
    <rPh sb="10" eb="13">
      <t>コウベセン</t>
    </rPh>
    <rPh sb="13" eb="14">
      <t>ホカ</t>
    </rPh>
    <rPh sb="15" eb="17">
      <t>ロセン</t>
    </rPh>
    <rPh sb="17" eb="19">
      <t>ハックツ</t>
    </rPh>
    <rPh sb="19" eb="21">
      <t>チョウサ</t>
    </rPh>
    <rPh sb="21" eb="24">
      <t>ホウコクショ</t>
    </rPh>
    <rPh sb="27" eb="37">
      <t>カ</t>
    </rPh>
    <phoneticPr fontId="2"/>
  </si>
  <si>
    <t>邪馬台国の女王が中国(魏)に使いを送る</t>
  </si>
  <si>
    <t>日本の歴史の中の亀山／古代の亀山／亀山のあけぼの／弥生時代の暮らし／邪馬台国の時代と亀山／魏志倭人伝</t>
    <rPh sb="45" eb="50">
      <t>ギシワジンデン</t>
    </rPh>
    <phoneticPr fontId="2"/>
  </si>
  <si>
    <t>http://kameyamarekihaku.jp/kodomo/w_e_b/rekishi/kodai/akebono/yayoi/yamataikoku/page002.html</t>
  </si>
  <si>
    <t>『亀山市史』通史 原始古代中世</t>
    <rPh sb="0" eb="15">
      <t>ツ</t>
    </rPh>
    <phoneticPr fontId="2"/>
  </si>
  <si>
    <t>古墳がつくられる</t>
  </si>
  <si>
    <t>古墳時代</t>
  </si>
  <si>
    <t>大和朝廷が国土の統一を進める</t>
  </si>
  <si>
    <t>倭が高句麗と戦う</t>
  </si>
  <si>
    <t>好太王碑</t>
    <rPh sb="0" eb="1">
      <t>ス</t>
    </rPh>
    <rPh sb="1" eb="2">
      <t>フト</t>
    </rPh>
    <rPh sb="2" eb="3">
      <t>オウ</t>
    </rPh>
    <rPh sb="3" eb="4">
      <t>ヒ</t>
    </rPh>
    <phoneticPr fontId="2"/>
  </si>
  <si>
    <t>４世紀末頃</t>
    <rPh sb="1" eb="4">
      <t>セイキマツ</t>
    </rPh>
    <rPh sb="4" eb="5">
      <t>コロ</t>
    </rPh>
    <phoneticPr fontId="2"/>
  </si>
  <si>
    <t>▲</t>
    <phoneticPr fontId="2"/>
  </si>
  <si>
    <t>大陸の文化が伝わる</t>
    <phoneticPr fontId="2"/>
  </si>
  <si>
    <t>古墳時代</t>
    <phoneticPr fontId="2"/>
  </si>
  <si>
    <t>4世紀末頃</t>
  </si>
  <si>
    <t>能褒野王塚古墳・名越古墳が造られる
上椎木古墳が造られる</t>
    <rPh sb="8" eb="10">
      <t>ナゴシ</t>
    </rPh>
    <rPh sb="10" eb="12">
      <t>コフン</t>
    </rPh>
    <rPh sb="18" eb="19">
      <t>カミ</t>
    </rPh>
    <rPh sb="19" eb="21">
      <t>シイノキ</t>
    </rPh>
    <rPh sb="21" eb="23">
      <t>コフン</t>
    </rPh>
    <rPh sb="24" eb="25">
      <t>ツク</t>
    </rPh>
    <phoneticPr fontId="2"/>
  </si>
  <si>
    <t>田村町</t>
    <rPh sb="0" eb="3">
      <t>タムラチョウ</t>
    </rPh>
    <phoneticPr fontId="2"/>
  </si>
  <si>
    <t>ヤマトタケル</t>
    <phoneticPr fontId="2"/>
  </si>
  <si>
    <t>亀山のむかしばなし／亀山にまつわるひとびとの話／ヤマトタケル</t>
    <phoneticPr fontId="2"/>
  </si>
  <si>
    <t>http://kameyamarekihaku.jp/kodomo/w_e_b/hanashi/hitobito/page001.html</t>
  </si>
  <si>
    <t>『亀山市史』考古分野
『亀山市史』通史 原始古代中世
『亀山市歴史博物館年報第2号』研究紀要
実践例〜野登小1.2年遠足現地説明「ヤマトタケルと能褒野王塚古墳について知ろう」</t>
    <rPh sb="1" eb="4">
      <t>カメヤマシ</t>
    </rPh>
    <rPh sb="4" eb="5">
      <t>シ</t>
    </rPh>
    <rPh sb="6" eb="8">
      <t>コウコ</t>
    </rPh>
    <rPh sb="8" eb="10">
      <t>ブンヤ</t>
    </rPh>
    <rPh sb="11" eb="26">
      <t>ツ</t>
    </rPh>
    <rPh sb="47" eb="49">
      <t>ジッセン</t>
    </rPh>
    <rPh sb="49" eb="50">
      <t>レイ</t>
    </rPh>
    <phoneticPr fontId="2"/>
  </si>
  <si>
    <t>古典に出てくる亀山／歌／そのほかの場所</t>
    <rPh sb="0" eb="2">
      <t>コテン</t>
    </rPh>
    <rPh sb="3" eb="4">
      <t>デ</t>
    </rPh>
    <rPh sb="7" eb="12">
      <t>カメヤマ・ウタ・</t>
    </rPh>
    <rPh sb="17" eb="19">
      <t>バショ</t>
    </rPh>
    <phoneticPr fontId="2"/>
  </si>
  <si>
    <t>http://kameyamarekihaku.jp/kodomo/w_e_b/koten/uta/page003.html</t>
  </si>
  <si>
    <t>日本の歴史の中の亀山／古代の亀山／亀山のあけぼの／大王の時代と亀山の古墳／亀山の古墳文化／ひれつき埴輪</t>
    <rPh sb="37" eb="39">
      <t>カメヤマ</t>
    </rPh>
    <rPh sb="40" eb="42">
      <t>コフン</t>
    </rPh>
    <rPh sb="42" eb="44">
      <t>ブンカ</t>
    </rPh>
    <rPh sb="49" eb="51">
      <t>ハニワ</t>
    </rPh>
    <phoneticPr fontId="2"/>
  </si>
  <si>
    <t>http://kameyamarekihaku.jp/kodomo/w_e_b/rekishi/kodai/akebono/daiou/kohunbunka/page001.html</t>
  </si>
  <si>
    <t>古典に出てくる亀山／旅</t>
    <rPh sb="0" eb="2">
      <t>コテン</t>
    </rPh>
    <rPh sb="3" eb="4">
      <t>デ</t>
    </rPh>
    <rPh sb="7" eb="10">
      <t>カメヤマ・</t>
    </rPh>
    <rPh sb="10" eb="11">
      <t>タビ</t>
    </rPh>
    <phoneticPr fontId="2"/>
  </si>
  <si>
    <t>http://kameyamarekihaku.jp/kodomo/w_e_b/koten/tabi/index.html</t>
  </si>
  <si>
    <t>日本の歴史の中の亀山／古代の亀山／亀山のあけぼの／大王の時代と亀山の古墳／亀山の古墳</t>
    <rPh sb="25" eb="27">
      <t>ダイオウ</t>
    </rPh>
    <rPh sb="34" eb="36">
      <t>コフン</t>
    </rPh>
    <rPh sb="37" eb="39">
      <t>カメヤマ</t>
    </rPh>
    <rPh sb="40" eb="42">
      <t>コフン</t>
    </rPh>
    <phoneticPr fontId="2"/>
  </si>
  <si>
    <t>http://kameyamarekihaku.jp/kodomo/w_e_b/rekishi/kodai/akebono/daiou/kohun/index.html</t>
  </si>
  <si>
    <t>川崎</t>
    <phoneticPr fontId="2"/>
  </si>
  <si>
    <t xml:space="preserve">鰭付円筒埴輪片
</t>
    <rPh sb="6" eb="7">
      <t>ヘン</t>
    </rPh>
    <phoneticPr fontId="2"/>
  </si>
  <si>
    <t>日本の歴史の中の亀山／古代の亀山／古代国家のあゆみと亀山／天平文化と亀山／ヤマトタケルと能褒野</t>
    <phoneticPr fontId="2"/>
  </si>
  <si>
    <t>http://kameyamarekihaku.jp/kodomo/w_e_b/rekishi/kodai/kodaikokka/tenpyo/yamato/index.html</t>
  </si>
  <si>
    <t xml:space="preserve">『亀山市史』考古分野
</t>
    <rPh sb="1" eb="4">
      <t>カメヤマシ</t>
    </rPh>
    <rPh sb="4" eb="5">
      <t>シ</t>
    </rPh>
    <rPh sb="6" eb="8">
      <t>コウコ</t>
    </rPh>
    <rPh sb="8" eb="10">
      <t>ブンヤ</t>
    </rPh>
    <phoneticPr fontId="2"/>
  </si>
  <si>
    <t>井田川</t>
  </si>
  <si>
    <t>和田町</t>
    <phoneticPr fontId="2"/>
  </si>
  <si>
    <t>亀山のいいとこさがし／景色のよいところや歴史を知る手掛かりとなるもの／歴史上の場所／能褒野王塚古墳</t>
    <rPh sb="0" eb="2">
      <t>カメヤマ</t>
    </rPh>
    <rPh sb="11" eb="37">
      <t>ケシキノヨイトコロヤレキシヲシルテガカリトナルモノ・レキシ</t>
    </rPh>
    <rPh sb="37" eb="38">
      <t>ジョウ</t>
    </rPh>
    <rPh sb="39" eb="41">
      <t>バショ</t>
    </rPh>
    <rPh sb="42" eb="47">
      <t>ノボノオウツカ</t>
    </rPh>
    <rPh sb="47" eb="49">
      <t>コフン</t>
    </rPh>
    <phoneticPr fontId="2"/>
  </si>
  <si>
    <t>http://kameyamarekihaku.jp/kodomo/w_e_b/iitoko/tegakari/basyo/page005.html</t>
  </si>
  <si>
    <t>『亀山市歴史博物館年報第2号』研究紀要
『上椎木古墳・谷山古墳・正知浦古墳群・正知浦遺跡』</t>
    <phoneticPr fontId="2"/>
  </si>
  <si>
    <t>大仙古墳が造られる</t>
    <rPh sb="1" eb="2">
      <t>セン</t>
    </rPh>
    <rPh sb="5" eb="6">
      <t>ツク</t>
    </rPh>
    <phoneticPr fontId="2"/>
  </si>
  <si>
    <t>倭王武が中国の南朝に使いを送る</t>
  </si>
  <si>
    <t>5世紀後半頃</t>
  </si>
  <si>
    <t>木下古墳・城山古墳が造られる</t>
    <rPh sb="5" eb="7">
      <t>シロヤマ</t>
    </rPh>
    <rPh sb="7" eb="9">
      <t>コフン</t>
    </rPh>
    <phoneticPr fontId="2"/>
  </si>
  <si>
    <t>神辺</t>
    <rPh sb="0" eb="1">
      <t>カミ</t>
    </rPh>
    <rPh sb="1" eb="2">
      <t>ヘン</t>
    </rPh>
    <phoneticPr fontId="2"/>
  </si>
  <si>
    <t>木下町　</t>
    <rPh sb="0" eb="1">
      <t>キ</t>
    </rPh>
    <rPh sb="1" eb="3">
      <t>シタマチ</t>
    </rPh>
    <phoneticPr fontId="2"/>
  </si>
  <si>
    <t>木下古墳跡標柱</t>
    <rPh sb="0" eb="2">
      <t>キノシタ</t>
    </rPh>
    <rPh sb="2" eb="4">
      <t>コフン</t>
    </rPh>
    <rPh sb="4" eb="5">
      <t>アト</t>
    </rPh>
    <rPh sb="5" eb="7">
      <t>ヒョウチュウ</t>
    </rPh>
    <phoneticPr fontId="2"/>
  </si>
  <si>
    <t>日本の歴史の中の亀山／古代の亀山／亀山のあけぼの／大王の時代と亀山の古墳／亀山の古墳／さまざまな古墳（１）</t>
    <phoneticPr fontId="2"/>
  </si>
  <si>
    <t>http://kameyamarekihaku.jp/kodomo/w_e_b/rekishi/kodai/akebono/daiou/kohun/page001.html</t>
  </si>
  <si>
    <t>『考古学雑誌68-3』
『亀山市史』考古分野
『三重県埋蔵文化財センター研究紀要５』
『亀山市史』考古分野</t>
    <rPh sb="1" eb="4">
      <t>コウコガク</t>
    </rPh>
    <rPh sb="4" eb="6">
      <t>ザッシ</t>
    </rPh>
    <rPh sb="12" eb="22">
      <t>カ</t>
    </rPh>
    <phoneticPr fontId="2"/>
  </si>
  <si>
    <t>井田川</t>
    <phoneticPr fontId="2"/>
  </si>
  <si>
    <t>みどり町</t>
    <rPh sb="3" eb="4">
      <t>マチ</t>
    </rPh>
    <phoneticPr fontId="2"/>
  </si>
  <si>
    <t>円筒埴輪・形象埴輪</t>
    <rPh sb="0" eb="2">
      <t>エントウ</t>
    </rPh>
    <rPh sb="2" eb="4">
      <t>ハニワ</t>
    </rPh>
    <rPh sb="5" eb="7">
      <t>ケイショウ</t>
    </rPh>
    <rPh sb="7" eb="9">
      <t>ハニワ</t>
    </rPh>
    <phoneticPr fontId="2"/>
  </si>
  <si>
    <t>仏教が伝わる</t>
  </si>
  <si>
    <t>校正日本書紀</t>
    <rPh sb="0" eb="2">
      <t>コウセイ</t>
    </rPh>
    <rPh sb="2" eb="6">
      <t>ニホンショキ</t>
    </rPh>
    <phoneticPr fontId="2"/>
  </si>
  <si>
    <t>日本の歴史の中の亀山／古代の亀山／古代国家のあゆみと亀山／飛鳥時代の亀山／仏教の伝来</t>
    <phoneticPr fontId="2"/>
  </si>
  <si>
    <t>http://kameyamarekihaku.jp/kodomo/w_e_b/rekishi/kodai/kodaikokka/asuka/page002.html</t>
  </si>
  <si>
    <t>山下古墳・大垣内古墳・井田川茶臼山古墳・釣鐘山古墳・井尻古墳・徳原古墳群・正知浦古墳群が造られる</t>
    <rPh sb="31" eb="33">
      <t>トクハラ</t>
    </rPh>
    <rPh sb="33" eb="35">
      <t>コフン</t>
    </rPh>
    <rPh sb="35" eb="36">
      <t>グン</t>
    </rPh>
    <phoneticPr fontId="2"/>
  </si>
  <si>
    <t>円筒埴輪</t>
    <rPh sb="0" eb="2">
      <t>エントウ</t>
    </rPh>
    <rPh sb="2" eb="4">
      <t>ハニワ</t>
    </rPh>
    <phoneticPr fontId="2"/>
  </si>
  <si>
    <t>日本の歴史の中の亀山／古代の亀山／亀山のあけぼの／大王の時代と亀山の古墳／亀山の古墳／さまざまな古墳（１）</t>
    <phoneticPr fontId="2"/>
  </si>
  <si>
    <t>『亀山の古墳』
『亀山市史』考古分野</t>
    <rPh sb="1" eb="3">
      <t>カメヤマ</t>
    </rPh>
    <rPh sb="4" eb="6">
      <t>コフン</t>
    </rPh>
    <rPh sb="8" eb="18">
      <t>カ</t>
    </rPh>
    <phoneticPr fontId="2"/>
  </si>
  <si>
    <t>日本の歴史の中の亀山／古代の亀山／亀山のあけぼの／大王の時代と亀山の古墳／中国朝鮮半島との交流と亀山の古墳／さまざまな古墳（２）</t>
    <phoneticPr fontId="2"/>
  </si>
  <si>
    <t>http://kameyamarekihaku.jp/kodomo/w_e_b/rekishi/kodai/akebono/daiou/chugoku/page001.html</t>
  </si>
  <si>
    <t>『大垣内古墳発掘調査報告書Ⅰ』
『亀山市史』考古分野</t>
    <rPh sb="1" eb="2">
      <t>オオ</t>
    </rPh>
    <rPh sb="2" eb="4">
      <t>カキウチ</t>
    </rPh>
    <rPh sb="4" eb="6">
      <t>コフン</t>
    </rPh>
    <rPh sb="6" eb="8">
      <t>ハックツ</t>
    </rPh>
    <rPh sb="8" eb="10">
      <t>チョウサ</t>
    </rPh>
    <rPh sb="10" eb="13">
      <t>ホウコクショ</t>
    </rPh>
    <rPh sb="16" eb="26">
      <t>カ</t>
    </rPh>
    <phoneticPr fontId="2"/>
  </si>
  <si>
    <t>鉄刀</t>
    <phoneticPr fontId="2"/>
  </si>
  <si>
    <t>井田川</t>
    <phoneticPr fontId="2"/>
  </si>
  <si>
    <t>日本の歴史の中の亀山／古代の亀山／亀山のあけぼの／大王の時代と亀山の古墳／亀山の古墳文化／銅鏡</t>
    <phoneticPr fontId="2"/>
  </si>
  <si>
    <t>http://kameyamarekihaku.jp/kodomo/w_e_b/rekishi/kodai/akebono/daiou/kohunbunka/page003.html</t>
  </si>
  <si>
    <t>『井田川茶臼山古墳』
『展示案内』その他のゾーン展示</t>
    <rPh sb="1" eb="4">
      <t>イダガワ</t>
    </rPh>
    <rPh sb="4" eb="7">
      <t>チャウスヤマ</t>
    </rPh>
    <rPh sb="7" eb="9">
      <t>コフン</t>
    </rPh>
    <rPh sb="19" eb="20">
      <t>タ</t>
    </rPh>
    <rPh sb="24" eb="26">
      <t>テンジ</t>
    </rPh>
    <phoneticPr fontId="2"/>
  </si>
  <si>
    <t>川合町</t>
    <rPh sb="0" eb="3">
      <t>カワイチョウ</t>
    </rPh>
    <phoneticPr fontId="2"/>
  </si>
  <si>
    <t>『ふびと32』
『亀山市史』考古分野
『展示案内』その他のゾーン展示</t>
    <rPh sb="8" eb="18">
      <t>カ</t>
    </rPh>
    <phoneticPr fontId="2"/>
  </si>
  <si>
    <t>鉄鏃　人骨片　切子玉　</t>
    <phoneticPr fontId="2"/>
  </si>
  <si>
    <t>井田川</t>
    <phoneticPr fontId="2"/>
  </si>
  <si>
    <t>井尻町</t>
    <rPh sb="0" eb="2">
      <t>イジリ</t>
    </rPh>
    <rPh sb="2" eb="3">
      <t>マチ</t>
    </rPh>
    <phoneticPr fontId="2"/>
  </si>
  <si>
    <t>埴輪片</t>
    <rPh sb="0" eb="2">
      <t>ハニワ</t>
    </rPh>
    <rPh sb="2" eb="3">
      <t>ヘン</t>
    </rPh>
    <phoneticPr fontId="2"/>
  </si>
  <si>
    <t>日本の歴史の中の亀山／古代の亀山／亀山のあけぼの／大王の時代と亀山の古墳／亀山の古墳文化／須恵器</t>
    <rPh sb="42" eb="45">
      <t>ブンカ・</t>
    </rPh>
    <rPh sb="45" eb="48">
      <t>スエキ</t>
    </rPh>
    <phoneticPr fontId="2"/>
  </si>
  <si>
    <t>http://kameyamarekihaku.jp/kodomo/w_e_b/rekishi/kodai/akebono/daiou/kohunbunka/page004.html</t>
  </si>
  <si>
    <t>『野村一里塚遺跡・中川原遺跡・井尻古墳発掘調査報告書』
『亀山市史』考古分野
『展示案内』その他のゾーン展示</t>
    <rPh sb="1" eb="3">
      <t>ノムラ</t>
    </rPh>
    <rPh sb="3" eb="5">
      <t>イチリ</t>
    </rPh>
    <rPh sb="5" eb="6">
      <t>ヅカ</t>
    </rPh>
    <rPh sb="6" eb="8">
      <t>イセキ</t>
    </rPh>
    <rPh sb="9" eb="12">
      <t>ナカガワラ</t>
    </rPh>
    <rPh sb="12" eb="14">
      <t>イセキ</t>
    </rPh>
    <rPh sb="15" eb="17">
      <t>イジリ</t>
    </rPh>
    <rPh sb="17" eb="19">
      <t>コフン</t>
    </rPh>
    <rPh sb="19" eb="21">
      <t>ハックツ</t>
    </rPh>
    <rPh sb="21" eb="23">
      <t>チョウサ</t>
    </rPh>
    <rPh sb="23" eb="26">
      <t>ホウコクショ</t>
    </rPh>
    <rPh sb="28" eb="38">
      <t>カ</t>
    </rPh>
    <phoneticPr fontId="2"/>
  </si>
  <si>
    <t>川崎</t>
    <rPh sb="0" eb="2">
      <t>カワサキ</t>
    </rPh>
    <phoneticPr fontId="2"/>
  </si>
  <si>
    <t>川崎町</t>
    <phoneticPr fontId="2"/>
  </si>
  <si>
    <t>徳原古墳群</t>
    <phoneticPr fontId="2"/>
  </si>
  <si>
    <t>須恵器　韓式系土器　鉄刀
金環・勾玉</t>
    <rPh sb="0" eb="3">
      <t>スエキ</t>
    </rPh>
    <rPh sb="4" eb="5">
      <t>カン</t>
    </rPh>
    <rPh sb="5" eb="6">
      <t>シキ</t>
    </rPh>
    <rPh sb="6" eb="7">
      <t>ケイ</t>
    </rPh>
    <rPh sb="7" eb="9">
      <t>ドキ</t>
    </rPh>
    <rPh sb="10" eb="11">
      <t>テツ</t>
    </rPh>
    <rPh sb="11" eb="12">
      <t>カタナ</t>
    </rPh>
    <rPh sb="13" eb="14">
      <t>キン</t>
    </rPh>
    <rPh sb="14" eb="15">
      <t>カン</t>
    </rPh>
    <rPh sb="16" eb="18">
      <t>マガタマ</t>
    </rPh>
    <phoneticPr fontId="2"/>
  </si>
  <si>
    <t>徳原古墳群</t>
    <rPh sb="0" eb="1">
      <t>トク</t>
    </rPh>
    <rPh sb="1" eb="2">
      <t>ハラ</t>
    </rPh>
    <rPh sb="2" eb="4">
      <t>コフン</t>
    </rPh>
    <rPh sb="4" eb="5">
      <t>グン</t>
    </rPh>
    <phoneticPr fontId="2"/>
  </si>
  <si>
    <t>『徳原古墳群発掘概報』
『上椎木古墳・谷山古墳・正知浦古墳群・正知浦遺跡』
『亀山市史』考古分野</t>
    <rPh sb="1" eb="2">
      <t>トク</t>
    </rPh>
    <rPh sb="2" eb="3">
      <t>ハラ</t>
    </rPh>
    <rPh sb="3" eb="5">
      <t>コフン</t>
    </rPh>
    <rPh sb="5" eb="6">
      <t>グン</t>
    </rPh>
    <rPh sb="6" eb="8">
      <t>ハックツ</t>
    </rPh>
    <rPh sb="8" eb="10">
      <t>ガイホウ</t>
    </rPh>
    <rPh sb="38" eb="48">
      <t>カ</t>
    </rPh>
    <phoneticPr fontId="2"/>
  </si>
  <si>
    <t>亀山東</t>
  </si>
  <si>
    <t>椿世町</t>
  </si>
  <si>
    <t>豪族が土地をもち農民を従える</t>
  </si>
  <si>
    <t>土師器　須恵器</t>
    <rPh sb="0" eb="3">
      <t>ハジキ</t>
    </rPh>
    <rPh sb="4" eb="7">
      <t>スエキ</t>
    </rPh>
    <phoneticPr fontId="2"/>
  </si>
  <si>
    <t>日本の歴史の中の亀山／古代の亀山／亀山のあけぼの／大王の時代と亀山の古墳／古墳時代のむら／さまざまな古墳（３）</t>
    <rPh sb="37" eb="39">
      <t>コフン</t>
    </rPh>
    <rPh sb="39" eb="41">
      <t>ジダイ</t>
    </rPh>
    <rPh sb="50" eb="52">
      <t>コフン</t>
    </rPh>
    <phoneticPr fontId="2"/>
  </si>
  <si>
    <t>http://kameyamarekihaku.jp/kodomo/w_e_b/rekishi/kodai/akebono/daiou/kohunzidai/page001.html</t>
  </si>
  <si>
    <t>日本の歴史の中の亀山／古代の亀山／亀山のあけぼの／大王の時代と亀山の古墳／亀山の古墳文化／須恵器</t>
    <rPh sb="42" eb="44">
      <t>ブンカ</t>
    </rPh>
    <rPh sb="45" eb="48">
      <t>スエキ</t>
    </rPh>
    <phoneticPr fontId="2"/>
  </si>
  <si>
    <t>物部、蘇我氏など豪族がたがいに争うようになる</t>
    <rPh sb="0" eb="2">
      <t>モノノベ</t>
    </rPh>
    <rPh sb="3" eb="5">
      <t>ソガ</t>
    </rPh>
    <rPh sb="5" eb="6">
      <t>シ</t>
    </rPh>
    <phoneticPr fontId="2"/>
  </si>
  <si>
    <t>聖徳太子が摂政となり、政治を行う</t>
    <rPh sb="5" eb="7">
      <t>セッショウ</t>
    </rPh>
    <phoneticPr fontId="2"/>
  </si>
  <si>
    <t>校正日本書紀</t>
    <rPh sb="0" eb="2">
      <t>コウセイ</t>
    </rPh>
    <phoneticPr fontId="2"/>
  </si>
  <si>
    <t>日本の歴史の中の亀山／古代の亀山／古代国家のあゆみと亀山</t>
    <rPh sb="17" eb="19">
      <t>コダイ</t>
    </rPh>
    <rPh sb="19" eb="21">
      <t>コッカ</t>
    </rPh>
    <rPh sb="26" eb="28">
      <t>カメヤマ</t>
    </rPh>
    <phoneticPr fontId="2"/>
  </si>
  <si>
    <t>http://kameyamarekihaku.jp/kodomo/w_e_b/rekishi/kodai/kodaikokka/index.html</t>
  </si>
  <si>
    <t>十七条の憲法がつくられる</t>
  </si>
  <si>
    <t>中国(隋)に使いを送る(遣隋使)</t>
  </si>
  <si>
    <t>飛鳥時代</t>
  </si>
  <si>
    <t>法隆寺が建てられる</t>
  </si>
  <si>
    <t>遣唐使がはじまる</t>
  </si>
  <si>
    <t>シルクロードを通じて,唐の都の長安と西アジア・ヨー□ツパとの交流が行われる</t>
  </si>
  <si>
    <t>大化元</t>
  </si>
  <si>
    <t>大化の改新がはじまる</t>
  </si>
  <si>
    <t>『亀山市史』通史 原始古代中世</t>
    <rPh sb="1" eb="4">
      <t>カメヤマシ</t>
    </rPh>
    <rPh sb="4" eb="5">
      <t>シ</t>
    </rPh>
    <rPh sb="6" eb="8">
      <t>ツウシ</t>
    </rPh>
    <rPh sb="9" eb="11">
      <t>ゲンシ</t>
    </rPh>
    <rPh sb="11" eb="13">
      <t>コダイ</t>
    </rPh>
    <rPh sb="13" eb="15">
      <t>チュウセイ</t>
    </rPh>
    <phoneticPr fontId="2"/>
  </si>
  <si>
    <t>白村江の戦いがおこる</t>
  </si>
  <si>
    <t>壬申の乱がおこる</t>
  </si>
  <si>
    <t>大海人皇子、大山越えで伊勢鈴鹿に至る</t>
  </si>
  <si>
    <t>加太</t>
  </si>
  <si>
    <t>加太北在家</t>
    <rPh sb="0" eb="2">
      <t>カブト</t>
    </rPh>
    <rPh sb="2" eb="3">
      <t>キタ</t>
    </rPh>
    <rPh sb="3" eb="5">
      <t>ザイケ</t>
    </rPh>
    <phoneticPr fontId="2"/>
  </si>
  <si>
    <t>大海人皇子</t>
    <phoneticPr fontId="2"/>
  </si>
  <si>
    <t>加太峠</t>
    <rPh sb="0" eb="2">
      <t>カブト</t>
    </rPh>
    <rPh sb="2" eb="3">
      <t>トウゲ</t>
    </rPh>
    <phoneticPr fontId="2"/>
  </si>
  <si>
    <t>古典に出てくる亀山／旅</t>
  </si>
  <si>
    <t>『亀山市史』通史 原始古代中世</t>
  </si>
  <si>
    <t>古典に出てくる亀山／物語／古代の話</t>
    <rPh sb="0" eb="2">
      <t>コテン</t>
    </rPh>
    <rPh sb="3" eb="4">
      <t>デ</t>
    </rPh>
    <rPh sb="7" eb="10">
      <t>カメヤマ・</t>
    </rPh>
    <rPh sb="10" eb="12">
      <t>モノガタリ</t>
    </rPh>
    <rPh sb="13" eb="15">
      <t>コダイ</t>
    </rPh>
    <rPh sb="16" eb="17">
      <t>ハナシ</t>
    </rPh>
    <phoneticPr fontId="2"/>
  </si>
  <si>
    <t>http://kameyamarekihaku.jp/kodomo/w_e_b/koten/monogatari/page002.html</t>
  </si>
  <si>
    <t>古典に出てくる亀山／物語／戦いの話</t>
    <rPh sb="0" eb="2">
      <t>コテン</t>
    </rPh>
    <rPh sb="3" eb="4">
      <t>デ</t>
    </rPh>
    <rPh sb="7" eb="10">
      <t>カメヤマ・</t>
    </rPh>
    <rPh sb="10" eb="17">
      <t>モノガタリ・タタカイノハナシ</t>
    </rPh>
    <phoneticPr fontId="2"/>
  </si>
  <si>
    <t>http://kameyamarekihaku.jp/kodomo/w_e_b/koten/monogatari/page001.html</t>
  </si>
  <si>
    <t>日本の歴史の中の亀山／古代の亀山／古代国家のあゆみと亀山／飛鳥時代の亀山／壬申の乱と亀山</t>
    <rPh sb="0" eb="2">
      <t>ニホン</t>
    </rPh>
    <rPh sb="3" eb="5">
      <t>レキシ</t>
    </rPh>
    <rPh sb="6" eb="7">
      <t>ナカ</t>
    </rPh>
    <rPh sb="8" eb="10">
      <t>カメヤマ</t>
    </rPh>
    <rPh sb="11" eb="13">
      <t>コダイ</t>
    </rPh>
    <rPh sb="14" eb="16">
      <t>カメヤマ</t>
    </rPh>
    <rPh sb="17" eb="19">
      <t>コダイ</t>
    </rPh>
    <rPh sb="19" eb="21">
      <t>コッカ</t>
    </rPh>
    <rPh sb="26" eb="28">
      <t>カメヤマ</t>
    </rPh>
    <rPh sb="29" eb="31">
      <t>アスカ</t>
    </rPh>
    <rPh sb="31" eb="33">
      <t>ジダイ</t>
    </rPh>
    <rPh sb="34" eb="36">
      <t>カメヤマ</t>
    </rPh>
    <rPh sb="37" eb="39">
      <t>ジンシン</t>
    </rPh>
    <rPh sb="40" eb="41">
      <t>ラン</t>
    </rPh>
    <rPh sb="42" eb="44">
      <t>カメヤマ</t>
    </rPh>
    <phoneticPr fontId="2"/>
  </si>
  <si>
    <t>http://kameyamarekihaku.jp/kodomo/w_e_b/rekishi/kodai/kodaikokka/asuka/page001.html</t>
  </si>
  <si>
    <t>大海人皇子、伊勢鈴鹿で国司三宅連石床らに出迎えられる
鈴鹿関司から山部王・石川王を鈴鹿関に留め置いたとの知らせが来る</t>
    <rPh sb="0" eb="5">
      <t>オオアマノオウジ</t>
    </rPh>
    <rPh sb="6" eb="8">
      <t>イセ</t>
    </rPh>
    <rPh sb="8" eb="10">
      <t>スズカ</t>
    </rPh>
    <rPh sb="11" eb="13">
      <t>コクシ</t>
    </rPh>
    <rPh sb="13" eb="15">
      <t>ミヤケ</t>
    </rPh>
    <rPh sb="15" eb="16">
      <t>レン</t>
    </rPh>
    <rPh sb="16" eb="17">
      <t>イシ</t>
    </rPh>
    <rPh sb="17" eb="18">
      <t>ユカ</t>
    </rPh>
    <rPh sb="20" eb="22">
      <t>デムカ</t>
    </rPh>
    <rPh sb="27" eb="29">
      <t>スズカ</t>
    </rPh>
    <rPh sb="29" eb="30">
      <t>セキ</t>
    </rPh>
    <rPh sb="30" eb="31">
      <t>シ</t>
    </rPh>
    <rPh sb="33" eb="35">
      <t>ヤマベ</t>
    </rPh>
    <rPh sb="35" eb="36">
      <t>オウ</t>
    </rPh>
    <rPh sb="37" eb="39">
      <t>イシカワ</t>
    </rPh>
    <rPh sb="39" eb="40">
      <t>オウ</t>
    </rPh>
    <rPh sb="41" eb="43">
      <t>スズカ</t>
    </rPh>
    <rPh sb="43" eb="44">
      <t>セキ</t>
    </rPh>
    <rPh sb="45" eb="46">
      <t>ト</t>
    </rPh>
    <rPh sb="47" eb="48">
      <t>オ</t>
    </rPh>
    <rPh sb="52" eb="53">
      <t>シ</t>
    </rPh>
    <rPh sb="56" eb="57">
      <t>ク</t>
    </rPh>
    <phoneticPr fontId="2"/>
  </si>
  <si>
    <t>関</t>
    <rPh sb="0" eb="1">
      <t>セキ</t>
    </rPh>
    <phoneticPr fontId="2"/>
  </si>
  <si>
    <t>関町新所</t>
    <rPh sb="0" eb="2">
      <t>セキチョウ</t>
    </rPh>
    <rPh sb="2" eb="3">
      <t>シン</t>
    </rPh>
    <rPh sb="3" eb="4">
      <t>ショ</t>
    </rPh>
    <phoneticPr fontId="2"/>
  </si>
  <si>
    <t>鈴鹿関跡</t>
    <phoneticPr fontId="2"/>
  </si>
  <si>
    <t>大海人皇子</t>
    <phoneticPr fontId="2"/>
  </si>
  <si>
    <t>日本の歴史の中の亀山／古代の亀山／古代国家のあゆみと亀山／飛鳥時代の亀山／壬申の乱と亀山</t>
    <phoneticPr fontId="2"/>
  </si>
  <si>
    <t>『亀山市史』通史 原始古代中世
『亀山市史』考古分野　
『web図録』常設展web図録　</t>
    <rPh sb="24" eb="26">
      <t>ブンヤ</t>
    </rPh>
    <phoneticPr fontId="2"/>
  </si>
  <si>
    <t>亀山のいいとこさがし／景色のよいところや歴史を知る手掛かりとなるもの／歴史上の場所／鈴鹿関跡（２）</t>
    <phoneticPr fontId="2"/>
  </si>
  <si>
    <t>http://kameyamarekihaku.jp/kodomo/w_e_b/iitoko/tegakari/basyo/page007.html</t>
  </si>
  <si>
    <t>大海人皇子、川曲坂下で休息を取る</t>
    <rPh sb="0" eb="5">
      <t>オオアマノオウジ</t>
    </rPh>
    <rPh sb="6" eb="7">
      <t>カワ</t>
    </rPh>
    <rPh sb="7" eb="8">
      <t>マガ</t>
    </rPh>
    <rPh sb="8" eb="10">
      <t>サカシタ</t>
    </rPh>
    <rPh sb="11" eb="13">
      <t>キュウソク</t>
    </rPh>
    <rPh sb="14" eb="15">
      <t>ト</t>
    </rPh>
    <phoneticPr fontId="2"/>
  </si>
  <si>
    <t>川崎町</t>
    <phoneticPr fontId="2"/>
  </si>
  <si>
    <t>一心院</t>
    <phoneticPr fontId="2"/>
  </si>
  <si>
    <t>大海人皇子　ウノノササラヒメ（持統天皇）</t>
    <rPh sb="0" eb="1">
      <t>オオ</t>
    </rPh>
    <rPh sb="1" eb="3">
      <t>アマ</t>
    </rPh>
    <rPh sb="15" eb="19">
      <t>ジトウテンノウ</t>
    </rPh>
    <phoneticPr fontId="2"/>
  </si>
  <si>
    <t>校正日本書紀　</t>
    <rPh sb="0" eb="2">
      <t>コウセイ</t>
    </rPh>
    <phoneticPr fontId="2"/>
  </si>
  <si>
    <t>「川曲の坂本」伝承地
（川崎町一心院）</t>
    <rPh sb="1" eb="2">
      <t>カワ</t>
    </rPh>
    <rPh sb="2" eb="3">
      <t>マガ</t>
    </rPh>
    <rPh sb="4" eb="6">
      <t>サカモト</t>
    </rPh>
    <rPh sb="7" eb="9">
      <t>デンショウ</t>
    </rPh>
    <rPh sb="9" eb="10">
      <t>チ</t>
    </rPh>
    <rPh sb="12" eb="15">
      <t>カワサキチョウ</t>
    </rPh>
    <rPh sb="15" eb="17">
      <t>イッシン</t>
    </rPh>
    <rPh sb="17" eb="18">
      <t>イン</t>
    </rPh>
    <phoneticPr fontId="2"/>
  </si>
  <si>
    <t>古典に出てくる亀山／旅</t>
    <rPh sb="0" eb="2">
      <t>コテン</t>
    </rPh>
    <rPh sb="3" eb="4">
      <t>デ</t>
    </rPh>
    <rPh sb="7" eb="11">
      <t>カメヤマ・タビ</t>
    </rPh>
    <phoneticPr fontId="2"/>
  </si>
  <si>
    <t>『勢陽五鈴遺響２』　
『亀山市史』通史 原始古代中世　　</t>
    <rPh sb="1" eb="2">
      <t>セイ</t>
    </rPh>
    <rPh sb="2" eb="3">
      <t>ヨウ</t>
    </rPh>
    <rPh sb="3" eb="4">
      <t>ゴ</t>
    </rPh>
    <rPh sb="4" eb="5">
      <t>スズ</t>
    </rPh>
    <rPh sb="5" eb="6">
      <t>イ</t>
    </rPh>
    <rPh sb="6" eb="7">
      <t>ヒビキ</t>
    </rPh>
    <phoneticPr fontId="2"/>
  </si>
  <si>
    <t>日本の歴史の中の亀山／古代の亀山／古代国家のあゆみと亀山／飛鳥時代の亀山／壬申の乱と亀山</t>
    <phoneticPr fontId="2"/>
  </si>
  <si>
    <t>鈴鹿関司が大津皇子を関に留める</t>
    <rPh sb="0" eb="2">
      <t>スズカ</t>
    </rPh>
    <rPh sb="2" eb="3">
      <t>セキ</t>
    </rPh>
    <rPh sb="3" eb="4">
      <t>ツカサ</t>
    </rPh>
    <rPh sb="5" eb="7">
      <t>オオツ</t>
    </rPh>
    <rPh sb="7" eb="9">
      <t>ミコ</t>
    </rPh>
    <rPh sb="10" eb="11">
      <t>セキ</t>
    </rPh>
    <rPh sb="12" eb="13">
      <t>トド</t>
    </rPh>
    <phoneticPr fontId="2"/>
  </si>
  <si>
    <t>大津皇子</t>
    <rPh sb="0" eb="2">
      <t>オオツ</t>
    </rPh>
    <rPh sb="2" eb="4">
      <t>ミコ</t>
    </rPh>
    <phoneticPr fontId="2"/>
  </si>
  <si>
    <t>日本の歴史の中の亀山／古代の亀山／古代国家のあゆみと亀山／天平文化と亀山／日本書紀・古事記と万葉集／日本書紀</t>
    <rPh sb="0" eb="17">
      <t>ニホンノレキシノナカノカメヤマ・コダイノカメヤマ・</t>
    </rPh>
    <rPh sb="17" eb="21">
      <t>コダイコッカ</t>
    </rPh>
    <rPh sb="26" eb="29">
      <t>カメヤマ・</t>
    </rPh>
    <rPh sb="29" eb="31">
      <t>テンピョウ</t>
    </rPh>
    <rPh sb="31" eb="33">
      <t>ブンカ</t>
    </rPh>
    <rPh sb="34" eb="36">
      <t>カメヤマ</t>
    </rPh>
    <rPh sb="37" eb="41">
      <t>ニホンショキ</t>
    </rPh>
    <rPh sb="42" eb="45">
      <t>コジキ</t>
    </rPh>
    <rPh sb="46" eb="49">
      <t>マンヨウシュウ</t>
    </rPh>
    <rPh sb="50" eb="54">
      <t>ニホンショキ</t>
    </rPh>
    <phoneticPr fontId="2"/>
  </si>
  <si>
    <t>http://kameyamarekihaku.jp/kodomo/w_e_b/rekishi/kodai/kodaikokka/tenpyo/nihonsyoki/page001.html</t>
  </si>
  <si>
    <t>『亀山市史』通史 原始古代中世
『亀山市史』考古分野　　
『web図録』常設展web図録</t>
    <rPh sb="24" eb="26">
      <t>ブンヤ</t>
    </rPh>
    <phoneticPr fontId="2"/>
  </si>
  <si>
    <t>天皇中心の政治のしくみが整う</t>
  </si>
  <si>
    <t>飛鳥時代</t>
    <rPh sb="0" eb="4">
      <t>アスカジダイ</t>
    </rPh>
    <phoneticPr fontId="2"/>
  </si>
  <si>
    <t>大宝元</t>
    <rPh sb="0" eb="2">
      <t>タイホウ</t>
    </rPh>
    <phoneticPr fontId="2"/>
  </si>
  <si>
    <t>●</t>
    <phoneticPr fontId="2"/>
  </si>
  <si>
    <t>大宝律令が完成する</t>
    <phoneticPr fontId="2"/>
  </si>
  <si>
    <t>このころまでに鈴鹿関がつくられる</t>
    <phoneticPr fontId="2"/>
  </si>
  <si>
    <t>『鈴鹿関跡第1次発掘調査概報』
『鈴鹿関跡第２次発掘調査概報』
『亀山市史』通史 原始古代中世
『亀山市史』考古分野　　
『web図録』常設展web図録
『亀山市史』歴史分野</t>
    <rPh sb="1" eb="3">
      <t>スズカ</t>
    </rPh>
    <rPh sb="3" eb="4">
      <t>セキ</t>
    </rPh>
    <rPh sb="4" eb="5">
      <t>アト</t>
    </rPh>
    <rPh sb="5" eb="6">
      <t>ダイ</t>
    </rPh>
    <rPh sb="7" eb="8">
      <t>ジ</t>
    </rPh>
    <rPh sb="8" eb="10">
      <t>ハックツ</t>
    </rPh>
    <rPh sb="10" eb="12">
      <t>チョウサ</t>
    </rPh>
    <rPh sb="12" eb="14">
      <t>ガイホウ</t>
    </rPh>
    <rPh sb="33" eb="36">
      <t>カメヤマシ</t>
    </rPh>
    <rPh sb="36" eb="37">
      <t>シ</t>
    </rPh>
    <rPh sb="56" eb="58">
      <t>ブンヤ</t>
    </rPh>
    <rPh sb="78" eb="81">
      <t>カメヤマシ</t>
    </rPh>
    <rPh sb="81" eb="82">
      <t>シ</t>
    </rPh>
    <rPh sb="83" eb="85">
      <t>レキシ</t>
    </rPh>
    <rPh sb="85" eb="87">
      <t>ブンヤ</t>
    </rPh>
    <phoneticPr fontId="2"/>
  </si>
  <si>
    <t>令義解(館蔵片山神社)</t>
    <rPh sb="4" eb="6">
      <t>カンゾウ</t>
    </rPh>
    <rPh sb="6" eb="8">
      <t>カタヤマ</t>
    </rPh>
    <rPh sb="8" eb="10">
      <t>ジンジャ</t>
    </rPh>
    <phoneticPr fontId="2"/>
  </si>
  <si>
    <t>大宝2</t>
    <phoneticPr fontId="2"/>
  </si>
  <si>
    <t>倭建命の墓が鳴動する</t>
    <rPh sb="0" eb="1">
      <t>ワ</t>
    </rPh>
    <rPh sb="1" eb="2">
      <t>タ</t>
    </rPh>
    <rPh sb="2" eb="3">
      <t>イノチ</t>
    </rPh>
    <rPh sb="4" eb="5">
      <t>ハカ</t>
    </rPh>
    <rPh sb="6" eb="7">
      <t>ナ</t>
    </rPh>
    <rPh sb="7" eb="8">
      <t>ウゴ</t>
    </rPh>
    <phoneticPr fontId="2"/>
  </si>
  <si>
    <t>ヤマトタケル</t>
    <phoneticPr fontId="2"/>
  </si>
  <si>
    <t>亀山のむかしばなし／亀山にまつわるひとびとの話／ヤマトタケル</t>
    <phoneticPr fontId="2"/>
  </si>
  <si>
    <t xml:space="preserve">『続日本紀』
『亀山市史』史料編 古代中世
『亀山市史』通史 原始古代中世
出前授業実践例～川崎小出前授業「ヤマトタケルの謎」
</t>
    <rPh sb="22" eb="37">
      <t>ツ</t>
    </rPh>
    <rPh sb="38" eb="40">
      <t>デマエ</t>
    </rPh>
    <rPh sb="40" eb="42">
      <t>ジュギョウ</t>
    </rPh>
    <rPh sb="42" eb="44">
      <t>ジッセン</t>
    </rPh>
    <rPh sb="44" eb="45">
      <t>レイ</t>
    </rPh>
    <rPh sb="46" eb="48">
      <t>カワサキ</t>
    </rPh>
    <rPh sb="48" eb="49">
      <t>ショウ</t>
    </rPh>
    <rPh sb="49" eb="51">
      <t>デマエ</t>
    </rPh>
    <rPh sb="51" eb="53">
      <t>ジュギョウ</t>
    </rPh>
    <rPh sb="61" eb="62">
      <t>ナゾ</t>
    </rPh>
    <phoneticPr fontId="2"/>
  </si>
  <si>
    <t>日本の歴史の中の亀山／古代の亀山／古代国家のあゆみと亀山／天平文化と亀山／ヤマトタケルと能褒野</t>
    <phoneticPr fontId="2"/>
  </si>
  <si>
    <t>持統太上天皇が伊勢国を巡幸する</t>
    <rPh sb="0" eb="2">
      <t>ジトウ</t>
    </rPh>
    <rPh sb="2" eb="4">
      <t>ダジョウ</t>
    </rPh>
    <rPh sb="4" eb="6">
      <t>テンノウ</t>
    </rPh>
    <rPh sb="7" eb="9">
      <t>イセ</t>
    </rPh>
    <rPh sb="9" eb="10">
      <t>クニ</t>
    </rPh>
    <rPh sb="11" eb="13">
      <t>ジュンコウ</t>
    </rPh>
    <phoneticPr fontId="2"/>
  </si>
  <si>
    <t>持統太上天皇</t>
    <rPh sb="0" eb="2">
      <t>ジトウ</t>
    </rPh>
    <rPh sb="2" eb="4">
      <t>ダジョウ</t>
    </rPh>
    <rPh sb="4" eb="6">
      <t>テンノウ</t>
    </rPh>
    <phoneticPr fontId="2"/>
  </si>
  <si>
    <t>『続日本紀』
『亀山市史』史料編 古代中世</t>
    <phoneticPr fontId="2"/>
  </si>
  <si>
    <t>奈良時代</t>
  </si>
  <si>
    <t>このころ伊勢国府がつくられる</t>
  </si>
  <si>
    <t>能褒野町</t>
    <rPh sb="0" eb="3">
      <t>ノボノ</t>
    </rPh>
    <rPh sb="3" eb="4">
      <t>マチ</t>
    </rPh>
    <phoneticPr fontId="2"/>
  </si>
  <si>
    <t>長者屋敷遺跡（伊勢国府跡）</t>
    <phoneticPr fontId="2"/>
  </si>
  <si>
    <t>大伴家持</t>
    <rPh sb="0" eb="4">
      <t>オオトモノヤカモチ</t>
    </rPh>
    <phoneticPr fontId="2"/>
  </si>
  <si>
    <t>日本の歴史の中の亀山／古代の亀山／古代国家のあゆみと亀山／飛鳥時代の亀山／古代の亀山を調べる</t>
    <rPh sb="17" eb="19">
      <t>コダイ</t>
    </rPh>
    <rPh sb="19" eb="21">
      <t>コッカ</t>
    </rPh>
    <rPh sb="26" eb="28">
      <t>カメヤマ</t>
    </rPh>
    <phoneticPr fontId="2"/>
  </si>
  <si>
    <t>http://kameyamarekihaku.jp/kodomo/w_e_b/rekishi/kodai/kodaikokka/asuka/shiraberu/index.html</t>
  </si>
  <si>
    <t>『伊勢国府跡』
『亀山市史』考古分野
『亀山市史』通史 原始古代中世</t>
    <rPh sb="1" eb="3">
      <t>イセ</t>
    </rPh>
    <rPh sb="3" eb="5">
      <t>コクフ</t>
    </rPh>
    <rPh sb="5" eb="6">
      <t>アト</t>
    </rPh>
    <rPh sb="8" eb="18">
      <t>カ</t>
    </rPh>
    <rPh sb="19" eb="34">
      <t>ツ</t>
    </rPh>
    <phoneticPr fontId="2"/>
  </si>
  <si>
    <t>日本の歴史の中の亀山／古代の亀山／古代国家のあゆみと亀山／律令国家の成立と亀山／伊勢国府と国分寺</t>
    <rPh sb="0" eb="17">
      <t>ニホンノレキシノナカノカメヤマ・コダイノカメヤマ・</t>
    </rPh>
    <rPh sb="17" eb="21">
      <t>コダイコッカ</t>
    </rPh>
    <rPh sb="26" eb="28">
      <t>カメヤマ</t>
    </rPh>
    <rPh sb="29" eb="33">
      <t>リツリョウコッカ</t>
    </rPh>
    <rPh sb="34" eb="36">
      <t>セイリツ</t>
    </rPh>
    <rPh sb="37" eb="40">
      <t>カメヤマ・</t>
    </rPh>
    <rPh sb="40" eb="42">
      <t>イセ</t>
    </rPh>
    <rPh sb="42" eb="43">
      <t>コク</t>
    </rPh>
    <rPh sb="43" eb="44">
      <t>フ</t>
    </rPh>
    <rPh sb="45" eb="48">
      <t>コクブンジ</t>
    </rPh>
    <phoneticPr fontId="2"/>
  </si>
  <si>
    <t>http://kameyamarekihaku.jp/kodomo/w_e_b/rekishi/kodai/kodaikokka/ritsuryo/isekokuhu/index.html</t>
  </si>
  <si>
    <t>和銅元</t>
    <rPh sb="2" eb="3">
      <t>モト</t>
    </rPh>
    <phoneticPr fontId="2"/>
  </si>
  <si>
    <t>和同開珎が初めて鋳造される</t>
    <rPh sb="0" eb="4">
      <t>ワドウカイチン</t>
    </rPh>
    <rPh sb="5" eb="6">
      <t>ハジ</t>
    </rPh>
    <rPh sb="8" eb="10">
      <t>チュウゾウ</t>
    </rPh>
    <phoneticPr fontId="2"/>
  </si>
  <si>
    <t>亀山東</t>
    <rPh sb="0" eb="2">
      <t>カメヤマ</t>
    </rPh>
    <rPh sb="2" eb="3">
      <t>ヒガシ</t>
    </rPh>
    <phoneticPr fontId="2"/>
  </si>
  <si>
    <t>阿野田町</t>
    <phoneticPr fontId="2"/>
  </si>
  <si>
    <t>御座遺跡</t>
    <phoneticPr fontId="2"/>
  </si>
  <si>
    <t>日本の歴史の中の亀山／古代の亀山／古代国家のあゆみと亀山／さまざまな古代遺跡</t>
    <rPh sb="17" eb="21">
      <t>コダイコッカ</t>
    </rPh>
    <rPh sb="26" eb="28">
      <t>カメヤマ</t>
    </rPh>
    <rPh sb="34" eb="36">
      <t>コダイ</t>
    </rPh>
    <rPh sb="36" eb="38">
      <t>イセキ</t>
    </rPh>
    <phoneticPr fontId="2"/>
  </si>
  <si>
    <t>http://kameyamarekihaku.jp/kodomo/w_e_b/rekishi/kodai/kodaikokka/asuka/shiraberu/page001.html</t>
  </si>
  <si>
    <t>『野村一里塚遺跡・中川原遺跡・井尻古墳発掘調査報告書』
『亀山市史』通史 原始古代中世</t>
    <rPh sb="1" eb="3">
      <t>ノムラ</t>
    </rPh>
    <rPh sb="3" eb="5">
      <t>イチリ</t>
    </rPh>
    <rPh sb="5" eb="6">
      <t>ヅカ</t>
    </rPh>
    <rPh sb="6" eb="8">
      <t>イセキ</t>
    </rPh>
    <rPh sb="9" eb="12">
      <t>ナカガワラ</t>
    </rPh>
    <rPh sb="12" eb="14">
      <t>イセキ</t>
    </rPh>
    <rPh sb="15" eb="17">
      <t>イジリ</t>
    </rPh>
    <rPh sb="17" eb="19">
      <t>コフン</t>
    </rPh>
    <rPh sb="19" eb="21">
      <t>ハックツ</t>
    </rPh>
    <rPh sb="21" eb="23">
      <t>チョウサ</t>
    </rPh>
    <rPh sb="23" eb="26">
      <t>ホウコクショ</t>
    </rPh>
    <rPh sb="28" eb="43">
      <t>ツ</t>
    </rPh>
    <phoneticPr fontId="2"/>
  </si>
  <si>
    <t>和銅3</t>
  </si>
  <si>
    <t>奈良に都を移す(平城京)</t>
  </si>
  <si>
    <t>和銅5</t>
    <rPh sb="0" eb="2">
      <t>ワドウ</t>
    </rPh>
    <phoneticPr fontId="2"/>
  </si>
  <si>
    <t>『古事記』が完成する</t>
    <phoneticPr fontId="2"/>
  </si>
  <si>
    <t>ヤマトタケルのことが『古事記』に記される</t>
    <phoneticPr fontId="2"/>
  </si>
  <si>
    <t>「能煩野」</t>
    <rPh sb="1" eb="2">
      <t>ノウ</t>
    </rPh>
    <rPh sb="2" eb="3">
      <t>ボン</t>
    </rPh>
    <rPh sb="3" eb="4">
      <t>ノ</t>
    </rPh>
    <phoneticPr fontId="2"/>
  </si>
  <si>
    <t>諸説あり</t>
    <phoneticPr fontId="2"/>
  </si>
  <si>
    <t>古訓古事記</t>
    <rPh sb="0" eb="1">
      <t>コ</t>
    </rPh>
    <rPh sb="1" eb="2">
      <t>クン</t>
    </rPh>
    <phoneticPr fontId="2"/>
  </si>
  <si>
    <t xml:space="preserve">『続日本紀』
『亀山市史』史料編 古代中世
『亀山市史』通史 原始古代中世
出前授業実践例～川崎小出前授業「ヤマトタケルの謎」
</t>
    <rPh sb="22" eb="37">
      <t>ツ</t>
    </rPh>
    <phoneticPr fontId="2"/>
  </si>
  <si>
    <t>日本の歴史の中の亀山／古代の亀山／古代国家のあゆみと亀山／天平文化と亀山／日本書紀・古事記と万葉集／古事記</t>
    <rPh sb="0" eb="2">
      <t>ニホン</t>
    </rPh>
    <rPh sb="3" eb="5">
      <t>レキシ</t>
    </rPh>
    <rPh sb="6" eb="7">
      <t>ナカ</t>
    </rPh>
    <rPh sb="8" eb="10">
      <t>カメヤマ</t>
    </rPh>
    <rPh sb="11" eb="13">
      <t>コダイ</t>
    </rPh>
    <rPh sb="14" eb="16">
      <t>カメヤマ</t>
    </rPh>
    <rPh sb="17" eb="19">
      <t>コダイ</t>
    </rPh>
    <rPh sb="19" eb="21">
      <t>コッカ</t>
    </rPh>
    <rPh sb="26" eb="28">
      <t>カメヤマ</t>
    </rPh>
    <rPh sb="29" eb="31">
      <t>テンピョウ</t>
    </rPh>
    <rPh sb="31" eb="33">
      <t>ブンカ</t>
    </rPh>
    <rPh sb="34" eb="36">
      <t>カメヤマ</t>
    </rPh>
    <rPh sb="37" eb="41">
      <t>ニホンショキ</t>
    </rPh>
    <rPh sb="42" eb="45">
      <t>コジキ</t>
    </rPh>
    <rPh sb="46" eb="49">
      <t>マンヨウシュウ</t>
    </rPh>
    <rPh sb="50" eb="53">
      <t>コジキ</t>
    </rPh>
    <phoneticPr fontId="2"/>
  </si>
  <si>
    <t>http://kameyamarekihaku.jp/kodomo/w_e_b/rekishi/kodai/kodaikokka/tenpyo/nihonsyoki/page002.html</t>
  </si>
  <si>
    <t>亀山のいいとこさがし／手紙や本／むかしの本／古事記</t>
    <phoneticPr fontId="2"/>
  </si>
  <si>
    <t>関の置かれた伊勢・美濃・越前三国の人々を親王・内親王の護衛や雑用に動員することを禁止する</t>
    <phoneticPr fontId="2"/>
  </si>
  <si>
    <t>日本の歴史の中の亀山／古代の亀山／古代国家のあゆみと亀山／律令国家の成立と亀山／古代の関所</t>
    <phoneticPr fontId="2"/>
  </si>
  <si>
    <t xml:space="preserve">『続日本紀』
『亀山市史』史料編 古代中世
</t>
    <phoneticPr fontId="2"/>
  </si>
  <si>
    <t>和銅6</t>
    <rPh sb="0" eb="2">
      <t>ワドウ</t>
    </rPh>
    <phoneticPr fontId="2"/>
  </si>
  <si>
    <t>伊勢国が大風の被害受け、庸調が免除される</t>
    <rPh sb="0" eb="2">
      <t>イセ</t>
    </rPh>
    <rPh sb="2" eb="3">
      <t>クニ</t>
    </rPh>
    <rPh sb="4" eb="6">
      <t>オオカゼ</t>
    </rPh>
    <rPh sb="7" eb="9">
      <t>ヒガイ</t>
    </rPh>
    <rPh sb="9" eb="10">
      <t>ウ</t>
    </rPh>
    <rPh sb="12" eb="13">
      <t>ヨウ</t>
    </rPh>
    <rPh sb="13" eb="14">
      <t>チョウ</t>
    </rPh>
    <rPh sb="15" eb="17">
      <t>メンジョ</t>
    </rPh>
    <phoneticPr fontId="2"/>
  </si>
  <si>
    <t>『続日本紀』
『亀山市史』史料編 古代中世</t>
    <rPh sb="1" eb="5">
      <t>ショクニホンギ</t>
    </rPh>
    <rPh sb="13" eb="15">
      <t>シリョウ</t>
    </rPh>
    <phoneticPr fontId="2"/>
  </si>
  <si>
    <t>養老4</t>
    <rPh sb="0" eb="2">
      <t>ヨウロウ</t>
    </rPh>
    <phoneticPr fontId="2"/>
  </si>
  <si>
    <t>『日本書紀』が完成する</t>
    <phoneticPr fontId="2"/>
  </si>
  <si>
    <t>ヤマトタケル・壬申の乱のことが『日本書紀』に記される</t>
    <rPh sb="7" eb="9">
      <t>ジンシン</t>
    </rPh>
    <rPh sb="10" eb="11">
      <t>ラン</t>
    </rPh>
    <phoneticPr fontId="2"/>
  </si>
  <si>
    <t>「能褒野」</t>
    <rPh sb="1" eb="4">
      <t>ノボノ</t>
    </rPh>
    <phoneticPr fontId="2"/>
  </si>
  <si>
    <t>ヤマトタケル　オトタチバナヒメ　大海人皇子</t>
    <rPh sb="16" eb="21">
      <t>オオアマノオウジ</t>
    </rPh>
    <phoneticPr fontId="2"/>
  </si>
  <si>
    <t>『続日本紀』
『亀山市史』史料編 古代中世
『亀山市史』通史 原始古代中世
出前授業実践例～川崎小出前授業「ヤマトタケルの謎」</t>
    <rPh sb="1" eb="5">
      <t>ショクニホンギ</t>
    </rPh>
    <rPh sb="13" eb="15">
      <t>シリョウ</t>
    </rPh>
    <phoneticPr fontId="2"/>
  </si>
  <si>
    <t>日本の歴史の中の亀山／古代の亀山／古代国家のあゆみと亀山／飛鳥時代の亀山／壬申の乱と亀山</t>
    <phoneticPr fontId="2"/>
  </si>
  <si>
    <t>日本の歴史の中の亀山／古代の亀山／古代国家のあゆみと亀山／天平文化と亀山／日本書紀・古事記と万葉集</t>
    <rPh sb="0" eb="17">
      <t>ニホンノレキシノナカノカメヤマ・コダイノカメヤマ・</t>
    </rPh>
    <rPh sb="17" eb="21">
      <t>コダイコッカ</t>
    </rPh>
    <rPh sb="26" eb="29">
      <t>カメヤマ・</t>
    </rPh>
    <rPh sb="29" eb="33">
      <t>テンピョウブンカ</t>
    </rPh>
    <rPh sb="34" eb="36">
      <t>カメヤマ</t>
    </rPh>
    <rPh sb="37" eb="41">
      <t>ニホンショキ</t>
    </rPh>
    <rPh sb="42" eb="45">
      <t>コジキ</t>
    </rPh>
    <rPh sb="46" eb="49">
      <t>マンヨウシュウ</t>
    </rPh>
    <phoneticPr fontId="2"/>
  </si>
  <si>
    <t>http://kameyamarekihaku.jp/kodomo/w_e_b/rekishi/kodai/kodaikokka/tenpyo/nihonsyoki/index.html</t>
  </si>
  <si>
    <t>亀山のいいとこさがし／手紙や本／むかしの本／日本書紀</t>
    <phoneticPr fontId="2"/>
  </si>
  <si>
    <t>養老5</t>
    <rPh sb="0" eb="2">
      <t>ヨウロウ</t>
    </rPh>
    <phoneticPr fontId="2"/>
  </si>
  <si>
    <t>元明天皇が崩御、鈴鹿・不破・愛発関を固める（固関のはじまり）</t>
    <rPh sb="0" eb="2">
      <t>ゲンメイ</t>
    </rPh>
    <rPh sb="2" eb="4">
      <t>テンノウ</t>
    </rPh>
    <rPh sb="5" eb="7">
      <t>ホウギョ</t>
    </rPh>
    <rPh sb="8" eb="10">
      <t>スズカ</t>
    </rPh>
    <rPh sb="11" eb="13">
      <t>フワ</t>
    </rPh>
    <rPh sb="14" eb="15">
      <t>アイ</t>
    </rPh>
    <rPh sb="15" eb="16">
      <t>ハツ</t>
    </rPh>
    <rPh sb="16" eb="17">
      <t>セキ</t>
    </rPh>
    <rPh sb="18" eb="19">
      <t>カタ</t>
    </rPh>
    <rPh sb="22" eb="23">
      <t>コ</t>
    </rPh>
    <rPh sb="23" eb="24">
      <t>セキ</t>
    </rPh>
    <phoneticPr fontId="2"/>
  </si>
  <si>
    <t>日本の歴史の中の亀山／古代の亀山／古代国家のあゆみと亀山／律令国家の成立と亀山／古代の関所</t>
    <rPh sb="40" eb="42">
      <t>コダイ</t>
    </rPh>
    <rPh sb="43" eb="45">
      <t>セキショ</t>
    </rPh>
    <phoneticPr fontId="2"/>
  </si>
  <si>
    <t>http://kameyamarekihaku.jp/kodomo/w_e_b/rekishi/kodai/kodaikokka/ritsuryo/sekisyo/index.html</t>
  </si>
  <si>
    <t>『続日本紀』
『web図録』常設展web図録
『亀山市史』考古分野
『亀山市史』通史 原始古代中世
『亀山市史』史料編 古代中世</t>
    <rPh sb="1" eb="5">
      <t>ショクニホンギ</t>
    </rPh>
    <rPh sb="23" eb="33">
      <t>カ</t>
    </rPh>
    <rPh sb="34" eb="49">
      <t>ツ</t>
    </rPh>
    <rPh sb="56" eb="58">
      <t>シリョウ</t>
    </rPh>
    <phoneticPr fontId="2"/>
  </si>
  <si>
    <t>亀山のいいとこさがし／景色のよいところや歴史を知る手掛かりとなるもの／歴史上の場所／鈴鹿関跡（２）</t>
  </si>
  <si>
    <t>神亀６</t>
    <rPh sb="0" eb="1">
      <t>シン</t>
    </rPh>
    <rPh sb="1" eb="2">
      <t>キ</t>
    </rPh>
    <phoneticPr fontId="2"/>
  </si>
  <si>
    <t>長屋王の変により鈴鹿・不破・愛発関を固める</t>
    <rPh sb="0" eb="2">
      <t>ナガヤ</t>
    </rPh>
    <rPh sb="2" eb="3">
      <t>オウ</t>
    </rPh>
    <rPh sb="4" eb="5">
      <t>ヘン</t>
    </rPh>
    <phoneticPr fontId="2"/>
  </si>
  <si>
    <t>天平12</t>
    <rPh sb="0" eb="2">
      <t>テンピョウ</t>
    </rPh>
    <phoneticPr fontId="2"/>
  </si>
  <si>
    <t>聖武天皇が伊勢国を巡幸し、赤坂頓宮に10日間滞在する</t>
    <phoneticPr fontId="2"/>
  </si>
  <si>
    <t>関？</t>
    <phoneticPr fontId="2"/>
  </si>
  <si>
    <t>関町木崎？</t>
    <rPh sb="0" eb="2">
      <t>セキチョウ</t>
    </rPh>
    <rPh sb="2" eb="4">
      <t>キザキ</t>
    </rPh>
    <phoneticPr fontId="2"/>
  </si>
  <si>
    <t>聖武天皇・吉備真備・橘諸兄</t>
    <rPh sb="5" eb="9">
      <t>キビノマキビ</t>
    </rPh>
    <rPh sb="10" eb="13">
      <t>タチバナノモロエ</t>
    </rPh>
    <phoneticPr fontId="2"/>
  </si>
  <si>
    <t>『続日本紀』
『亀山市史』史料編 古代中世
『亀山市史』通史 原始古代中世
『亀山市史』考古分野
『展示案内』その他のゾーン展示</t>
    <rPh sb="1" eb="5">
      <t>ショクニホンギ</t>
    </rPh>
    <rPh sb="13" eb="15">
      <t>シリョウ</t>
    </rPh>
    <rPh sb="22" eb="37">
      <t>ツ</t>
    </rPh>
    <rPh sb="38" eb="48">
      <t>カ</t>
    </rPh>
    <rPh sb="50" eb="52">
      <t>テンジ</t>
    </rPh>
    <rPh sb="52" eb="54">
      <t>アンナイ</t>
    </rPh>
    <rPh sb="57" eb="58">
      <t>タ</t>
    </rPh>
    <rPh sb="62" eb="64">
      <t>テンジ</t>
    </rPh>
    <phoneticPr fontId="2"/>
  </si>
  <si>
    <t>日本の歴史の中の亀山／古代の亀山／古代国家のあゆみと亀山／律令国家の成立と亀山／古代の道と聖武天皇</t>
    <rPh sb="40" eb="42">
      <t>コダイ</t>
    </rPh>
    <rPh sb="43" eb="44">
      <t>ミチ</t>
    </rPh>
    <rPh sb="45" eb="49">
      <t>ショウムテンノウ</t>
    </rPh>
    <phoneticPr fontId="2"/>
  </si>
  <si>
    <t>http://kameyamarekihaku.jp/kodomo/w_e_b/rekishi/kodai/kodaikokka/ritsuryo/syomu/index.html</t>
  </si>
  <si>
    <t>天平15</t>
  </si>
  <si>
    <t>墾田永年私財法が出される</t>
    <phoneticPr fontId="2"/>
  </si>
  <si>
    <t>『続日本紀』</t>
    <rPh sb="1" eb="5">
      <t>ショクニホンギ</t>
    </rPh>
    <phoneticPr fontId="2"/>
  </si>
  <si>
    <t>天平19</t>
    <rPh sb="0" eb="2">
      <t>テンピョウ</t>
    </rPh>
    <phoneticPr fontId="2"/>
  </si>
  <si>
    <t>聖武天皇、鈴鹿郡大野の土地を大安寺に寄進する</t>
    <rPh sb="5" eb="7">
      <t>スズカ</t>
    </rPh>
    <rPh sb="7" eb="8">
      <t>グン</t>
    </rPh>
    <rPh sb="8" eb="10">
      <t>オオノ</t>
    </rPh>
    <rPh sb="11" eb="13">
      <t>トチ</t>
    </rPh>
    <rPh sb="14" eb="17">
      <t>ダイアンジ</t>
    </rPh>
    <rPh sb="18" eb="20">
      <t>キシン</t>
    </rPh>
    <phoneticPr fontId="2"/>
  </si>
  <si>
    <t>川崎</t>
    <phoneticPr fontId="2"/>
  </si>
  <si>
    <t>能褒野町？</t>
    <rPh sb="0" eb="3">
      <t>ノボノ</t>
    </rPh>
    <rPh sb="3" eb="4">
      <t>マチ</t>
    </rPh>
    <phoneticPr fontId="2"/>
  </si>
  <si>
    <t>聖武天皇</t>
    <rPh sb="0" eb="2">
      <t>ショウム</t>
    </rPh>
    <rPh sb="2" eb="4">
      <t>テンノウ</t>
    </rPh>
    <phoneticPr fontId="2"/>
  </si>
  <si>
    <t>伊勢国などで飢饉が起こる</t>
    <rPh sb="0" eb="2">
      <t>イセ</t>
    </rPh>
    <rPh sb="2" eb="3">
      <t>クニ</t>
    </rPh>
    <rPh sb="6" eb="8">
      <t>キキン</t>
    </rPh>
    <rPh sb="9" eb="10">
      <t>オ</t>
    </rPh>
    <phoneticPr fontId="2"/>
  </si>
  <si>
    <t>天平勝宝4</t>
  </si>
  <si>
    <t>東大寺の大仏がつくられる</t>
  </si>
  <si>
    <t>天平勝宝5</t>
  </si>
  <si>
    <t>鈴鹿郡長背郷の爪工のことが記される</t>
    <rPh sb="0" eb="2">
      <t>スズカ</t>
    </rPh>
    <rPh sb="2" eb="3">
      <t>グン</t>
    </rPh>
    <rPh sb="3" eb="4">
      <t>チョウ</t>
    </rPh>
    <rPh sb="4" eb="5">
      <t>セ</t>
    </rPh>
    <rPh sb="5" eb="6">
      <t>ゴウ</t>
    </rPh>
    <rPh sb="7" eb="8">
      <t>ツメ</t>
    </rPh>
    <rPh sb="8" eb="9">
      <t>コウ</t>
    </rPh>
    <rPh sb="13" eb="14">
      <t>シル</t>
    </rPh>
    <phoneticPr fontId="2"/>
  </si>
  <si>
    <t>『亀山市史』史料編 古代中世
『亀山市史』通史 原始古代中世</t>
    <rPh sb="6" eb="8">
      <t>シリョウ</t>
    </rPh>
    <rPh sb="16" eb="19">
      <t>カメヤマシ</t>
    </rPh>
    <rPh sb="19" eb="20">
      <t>シ</t>
    </rPh>
    <phoneticPr fontId="2"/>
  </si>
  <si>
    <t>天平勝宝8</t>
    <phoneticPr fontId="2"/>
  </si>
  <si>
    <t>聖武太上天皇崩御、鈴鹿・不破・愛発関を固める</t>
    <phoneticPr fontId="2"/>
  </si>
  <si>
    <t>天平勝宝8</t>
    <rPh sb="0" eb="2">
      <t>テンピョウ</t>
    </rPh>
    <rPh sb="2" eb="3">
      <t>ショウ</t>
    </rPh>
    <rPh sb="3" eb="4">
      <t>タカラ</t>
    </rPh>
    <phoneticPr fontId="2"/>
  </si>
  <si>
    <t>正倉院が建てられる</t>
  </si>
  <si>
    <t>天平宝字4</t>
    <rPh sb="0" eb="2">
      <t>テンピョウ</t>
    </rPh>
    <rPh sb="2" eb="3">
      <t>タカラ</t>
    </rPh>
    <rPh sb="3" eb="4">
      <t>ジ</t>
    </rPh>
    <phoneticPr fontId="2"/>
  </si>
  <si>
    <t>伊勢国などで疫病が流行る</t>
    <rPh sb="0" eb="2">
      <t>イセ</t>
    </rPh>
    <rPh sb="2" eb="3">
      <t>クニ</t>
    </rPh>
    <rPh sb="6" eb="8">
      <t>エキビョウ</t>
    </rPh>
    <rPh sb="9" eb="11">
      <t>ハヤ</t>
    </rPh>
    <phoneticPr fontId="2"/>
  </si>
  <si>
    <t>天平宝字6</t>
    <rPh sb="0" eb="2">
      <t>テンピョウ</t>
    </rPh>
    <rPh sb="2" eb="3">
      <t>タカラ</t>
    </rPh>
    <rPh sb="3" eb="4">
      <t>ジ</t>
    </rPh>
    <phoneticPr fontId="2"/>
  </si>
  <si>
    <t>伊勢国などで飢饉が起こる</t>
    <phoneticPr fontId="2"/>
  </si>
  <si>
    <t>天平宝字8</t>
    <rPh sb="0" eb="2">
      <t>テンピョウ</t>
    </rPh>
    <rPh sb="2" eb="3">
      <t>タカラ</t>
    </rPh>
    <rPh sb="3" eb="4">
      <t>ジ</t>
    </rPh>
    <phoneticPr fontId="2"/>
  </si>
  <si>
    <t>藤原仲麻呂の乱が起き、鈴鹿・不破・愛発関を固める</t>
    <rPh sb="0" eb="5">
      <t>フジワラノナカマロ</t>
    </rPh>
    <rPh sb="6" eb="7">
      <t>ラン</t>
    </rPh>
    <rPh sb="8" eb="9">
      <t>オ</t>
    </rPh>
    <phoneticPr fontId="2"/>
  </si>
  <si>
    <t>日本の歴史の中の亀山／古代の亀山／古代国家のあゆみと亀山／律令国家の成立と亀山／古代の関所</t>
    <phoneticPr fontId="2"/>
  </si>
  <si>
    <t>『続日本紀』
『web図録』常設展web図録
『亀山市史』考古分野
『亀山市史』史料編 古代中世</t>
    <rPh sb="1" eb="5">
      <t>ショクニホンギ</t>
    </rPh>
    <rPh sb="24" eb="27">
      <t>カメヤマシ</t>
    </rPh>
    <rPh sb="27" eb="28">
      <t>シ</t>
    </rPh>
    <rPh sb="29" eb="31">
      <t>コウコ</t>
    </rPh>
    <rPh sb="31" eb="33">
      <t>ブンヤ</t>
    </rPh>
    <rPh sb="40" eb="42">
      <t>シリョウ</t>
    </rPh>
    <phoneticPr fontId="2"/>
  </si>
  <si>
    <t>天平神護元</t>
    <rPh sb="0" eb="2">
      <t>テンピョウ</t>
    </rPh>
    <rPh sb="2" eb="3">
      <t>カミ</t>
    </rPh>
    <rPh sb="4" eb="5">
      <t>モト</t>
    </rPh>
    <phoneticPr fontId="2"/>
  </si>
  <si>
    <t>関の置かれた伊勢・美濃・越前三国の人々を親王・内親王の護衛や雑用に動員することを禁止する</t>
    <rPh sb="0" eb="1">
      <t>セキ</t>
    </rPh>
    <rPh sb="2" eb="3">
      <t>オ</t>
    </rPh>
    <rPh sb="6" eb="8">
      <t>イセ</t>
    </rPh>
    <rPh sb="9" eb="11">
      <t>ミノ</t>
    </rPh>
    <rPh sb="12" eb="14">
      <t>エチゼン</t>
    </rPh>
    <rPh sb="14" eb="15">
      <t>３</t>
    </rPh>
    <rPh sb="15" eb="16">
      <t>クニ</t>
    </rPh>
    <rPh sb="17" eb="19">
      <t>ヒトビト</t>
    </rPh>
    <rPh sb="30" eb="32">
      <t>ザツヨウ</t>
    </rPh>
    <rPh sb="33" eb="35">
      <t>ドウイン</t>
    </rPh>
    <rPh sb="40" eb="42">
      <t>キンシ</t>
    </rPh>
    <phoneticPr fontId="2"/>
  </si>
  <si>
    <t>称徳天皇が紀伊国を巡幸、鈴鹿・不破・愛発関を固める</t>
    <rPh sb="0" eb="1">
      <t>ショウ</t>
    </rPh>
    <rPh sb="1" eb="2">
      <t>トク</t>
    </rPh>
    <rPh sb="2" eb="4">
      <t>テンノウ</t>
    </rPh>
    <rPh sb="5" eb="7">
      <t>キイ</t>
    </rPh>
    <rPh sb="7" eb="8">
      <t>クニ</t>
    </rPh>
    <rPh sb="9" eb="11">
      <t>ジュンコウ</t>
    </rPh>
    <rPh sb="12" eb="14">
      <t>スズカ</t>
    </rPh>
    <phoneticPr fontId="2"/>
  </si>
  <si>
    <t>日本の歴史の中の亀山／古代の亀山／古代国家のあゆみと亀山／律令国家の成立と亀山／古代の関所</t>
  </si>
  <si>
    <t>『続日本紀』
『web図録』常設展web図録
『亀山市史』史料編 古代中世
『亀山市史』考古分野</t>
    <rPh sb="1" eb="5">
      <t>ショクニホンギ</t>
    </rPh>
    <rPh sb="29" eb="31">
      <t>シリョウ</t>
    </rPh>
    <phoneticPr fontId="2"/>
  </si>
  <si>
    <t>天平神護2</t>
    <rPh sb="0" eb="2">
      <t>テンピョウ</t>
    </rPh>
    <rPh sb="2" eb="3">
      <t>カミ</t>
    </rPh>
    <phoneticPr fontId="2"/>
  </si>
  <si>
    <t>伊勢・美濃国風雨で大被害が出る</t>
    <rPh sb="0" eb="2">
      <t>イセ</t>
    </rPh>
    <rPh sb="3" eb="5">
      <t>ミノ</t>
    </rPh>
    <rPh sb="5" eb="6">
      <t>クニ</t>
    </rPh>
    <rPh sb="6" eb="8">
      <t>フウウ</t>
    </rPh>
    <rPh sb="9" eb="10">
      <t>ダイ</t>
    </rPh>
    <rPh sb="10" eb="12">
      <t>ヒガイ</t>
    </rPh>
    <rPh sb="13" eb="14">
      <t>デ</t>
    </rPh>
    <phoneticPr fontId="2"/>
  </si>
  <si>
    <t>神護景雲４</t>
    <rPh sb="0" eb="4">
      <t>ジンゴケイウン</t>
    </rPh>
    <phoneticPr fontId="2"/>
  </si>
  <si>
    <t>称徳天皇崩御、鈴鹿・不破・愛発関を固める</t>
    <rPh sb="0" eb="1">
      <t>ショウ</t>
    </rPh>
    <rPh sb="1" eb="2">
      <t>トク</t>
    </rPh>
    <phoneticPr fontId="2"/>
  </si>
  <si>
    <t>日本の歴史の中の亀山／古代の亀山／古代国家のあゆみと亀山／律令国家の成立と亀山／古代の関所</t>
    <phoneticPr fontId="2"/>
  </si>
  <si>
    <t>『続日本紀』
『web図録』常設展web図録
『亀山市史』考古分野
『亀山市史』史料編 古代中世</t>
    <rPh sb="1" eb="5">
      <t>ショクニホンギ</t>
    </rPh>
    <phoneticPr fontId="2"/>
  </si>
  <si>
    <t>宝亀6</t>
    <rPh sb="0" eb="1">
      <t>タカラ</t>
    </rPh>
    <rPh sb="1" eb="2">
      <t>カメ</t>
    </rPh>
    <phoneticPr fontId="2"/>
  </si>
  <si>
    <t>伊勢国など風雨で大被害が出る</t>
    <phoneticPr fontId="2"/>
  </si>
  <si>
    <t>宝亀7</t>
    <rPh sb="0" eb="1">
      <t>タカラ</t>
    </rPh>
    <rPh sb="1" eb="2">
      <t>カメ</t>
    </rPh>
    <phoneticPr fontId="2"/>
  </si>
  <si>
    <t>大伴家持が伊勢国司となる</t>
    <rPh sb="0" eb="4">
      <t>オオトモノヤカモチ</t>
    </rPh>
    <rPh sb="5" eb="7">
      <t>イセ</t>
    </rPh>
    <rPh sb="7" eb="9">
      <t>コクシ</t>
    </rPh>
    <phoneticPr fontId="2"/>
  </si>
  <si>
    <t>長者屋敷遺跡（伊勢国府跡）</t>
    <phoneticPr fontId="2"/>
  </si>
  <si>
    <t>日本の歴史の中の亀山／古代の亀山／古代国家のあゆみと亀山／律令国家の成立と亀山／伊勢国府と国分寺／長者屋敷遺跡</t>
    <rPh sb="40" eb="42">
      <t>イセ</t>
    </rPh>
    <rPh sb="42" eb="43">
      <t>コク</t>
    </rPh>
    <rPh sb="43" eb="44">
      <t>フ</t>
    </rPh>
    <rPh sb="45" eb="48">
      <t>コクブンジ</t>
    </rPh>
    <rPh sb="49" eb="51">
      <t>チョウジャ</t>
    </rPh>
    <rPh sb="51" eb="53">
      <t>ヤシキ</t>
    </rPh>
    <rPh sb="53" eb="55">
      <t>イセキ</t>
    </rPh>
    <phoneticPr fontId="2"/>
  </si>
  <si>
    <t>http://kameyamarekihaku.jp/kodomo/w_e_b/rekishi/kodai/kodaikokka/ritsuryo/isekokuhu/page002.html</t>
  </si>
  <si>
    <t>『続日本紀』
『亀山市史』考古分野
『亀山市史』通史 原始古代中世</t>
    <rPh sb="1" eb="5">
      <t>ショクニホンギ</t>
    </rPh>
    <rPh sb="7" eb="17">
      <t>カ</t>
    </rPh>
    <rPh sb="18" eb="33">
      <t>ツ</t>
    </rPh>
    <phoneticPr fontId="2"/>
  </si>
  <si>
    <t>宝亀11</t>
    <rPh sb="0" eb="1">
      <t>タカラ</t>
    </rPh>
    <rPh sb="1" eb="2">
      <t>カメ</t>
    </rPh>
    <phoneticPr fontId="2"/>
  </si>
  <si>
    <t>鈴鹿関の西内城の太鼓が自然に一度鳴る</t>
    <rPh sb="4" eb="5">
      <t>ニシ</t>
    </rPh>
    <rPh sb="5" eb="6">
      <t>ナイ</t>
    </rPh>
    <rPh sb="6" eb="7">
      <t>シロ</t>
    </rPh>
    <rPh sb="8" eb="10">
      <t>タイコ</t>
    </rPh>
    <rPh sb="11" eb="13">
      <t>シゼン</t>
    </rPh>
    <rPh sb="14" eb="16">
      <t>イチド</t>
    </rPh>
    <rPh sb="16" eb="17">
      <t>ナ</t>
    </rPh>
    <phoneticPr fontId="2"/>
  </si>
  <si>
    <t>関町新所</t>
    <rPh sb="0" eb="2">
      <t>セキチョウ</t>
    </rPh>
    <rPh sb="2" eb="4">
      <t>シンジョ</t>
    </rPh>
    <phoneticPr fontId="2"/>
  </si>
  <si>
    <t>亀山のむかしばなし／こわいはなし／鈴鹿関の怪奇現象</t>
    <rPh sb="17" eb="20">
      <t>スズカセキ</t>
    </rPh>
    <rPh sb="21" eb="23">
      <t>カイキ</t>
    </rPh>
    <rPh sb="23" eb="25">
      <t>ゲンショウ</t>
    </rPh>
    <phoneticPr fontId="2"/>
  </si>
  <si>
    <t>http://kameyamarekihaku.jp/kodomo/w_e_b/hanashi/mukashi/page002.html</t>
  </si>
  <si>
    <t>亀山のいいとこさがし／景色のよいところや歴史を知る手掛かりとなるもの／歴史上の場所／鈴鹿関跡（２）</t>
    <phoneticPr fontId="2"/>
  </si>
  <si>
    <t>『万葉集』がつくられる</t>
    <phoneticPr fontId="2"/>
  </si>
  <si>
    <t>『万葉集』に鈴鹿川・都追美井のことが詠まれる</t>
    <rPh sb="11" eb="12">
      <t>ツイ</t>
    </rPh>
    <phoneticPr fontId="2"/>
  </si>
  <si>
    <t>古厩</t>
    <rPh sb="0" eb="1">
      <t>フル</t>
    </rPh>
    <rPh sb="1" eb="2">
      <t>ウマヤ</t>
    </rPh>
    <phoneticPr fontId="2"/>
  </si>
  <si>
    <t>鈴鹿川
都追美井</t>
    <phoneticPr fontId="2"/>
  </si>
  <si>
    <t>都追美井の写真（大井神社跡の古井戸：関町古厩）</t>
    <rPh sb="0" eb="1">
      <t>ミヤコ</t>
    </rPh>
    <rPh sb="1" eb="2">
      <t>ツイ</t>
    </rPh>
    <rPh sb="2" eb="3">
      <t>ビ</t>
    </rPh>
    <rPh sb="3" eb="4">
      <t>イ</t>
    </rPh>
    <rPh sb="5" eb="7">
      <t>シャシン</t>
    </rPh>
    <rPh sb="8" eb="10">
      <t>オオイ</t>
    </rPh>
    <rPh sb="10" eb="12">
      <t>ジンジャ</t>
    </rPh>
    <rPh sb="12" eb="13">
      <t>アト</t>
    </rPh>
    <rPh sb="14" eb="15">
      <t>フル</t>
    </rPh>
    <rPh sb="15" eb="17">
      <t>イド</t>
    </rPh>
    <rPh sb="18" eb="20">
      <t>セキチョウ</t>
    </rPh>
    <rPh sb="20" eb="22">
      <t>フルマヤ</t>
    </rPh>
    <phoneticPr fontId="2"/>
  </si>
  <si>
    <t>都追美井（大井神社跡）</t>
    <rPh sb="1" eb="2">
      <t>ツイ</t>
    </rPh>
    <rPh sb="5" eb="7">
      <t>オオイ</t>
    </rPh>
    <rPh sb="7" eb="9">
      <t>ジンジャ</t>
    </rPh>
    <rPh sb="9" eb="10">
      <t>アト</t>
    </rPh>
    <phoneticPr fontId="2"/>
  </si>
  <si>
    <t>古典に出てくる亀山／歌／鈴鹿川</t>
    <rPh sb="0" eb="2">
      <t>コテン</t>
    </rPh>
    <rPh sb="3" eb="4">
      <t>デ</t>
    </rPh>
    <rPh sb="7" eb="9">
      <t>カメヤマ</t>
    </rPh>
    <rPh sb="10" eb="11">
      <t>ウタ</t>
    </rPh>
    <rPh sb="12" eb="14">
      <t>スズカ</t>
    </rPh>
    <rPh sb="14" eb="15">
      <t>ガワ</t>
    </rPh>
    <phoneticPr fontId="2"/>
  </si>
  <si>
    <t>http://kameyamarekihaku.jp/kodomo/w_e_b/koten/uta/page002.html</t>
  </si>
  <si>
    <t>『万葉集』</t>
    <rPh sb="1" eb="4">
      <t>マンヨウシュウ</t>
    </rPh>
    <phoneticPr fontId="2"/>
  </si>
  <si>
    <t>古典に出てくる亀山／歌／そのほかの場所</t>
    <rPh sb="0" eb="2">
      <t>コテン</t>
    </rPh>
    <rPh sb="3" eb="4">
      <t>デ</t>
    </rPh>
    <rPh sb="7" eb="9">
      <t>カメヤマ</t>
    </rPh>
    <rPh sb="10" eb="11">
      <t>ウタ</t>
    </rPh>
    <rPh sb="17" eb="19">
      <t>バショ</t>
    </rPh>
    <phoneticPr fontId="2"/>
  </si>
  <si>
    <t>日本の歴史の中の亀山／古代の亀山／古代国家のあゆみと亀山／天平文化と亀山／日本書紀・古事記と万葉集／万葉集</t>
    <rPh sb="50" eb="53">
      <t>マンヨウシュウ</t>
    </rPh>
    <phoneticPr fontId="2"/>
  </si>
  <si>
    <t>http://kameyamarekihaku.jp/kodomo/w_e_b/rekishi/kodai/kodaikokka/tenpyo/nihonsyoki/page003.html</t>
  </si>
  <si>
    <t>亀山のいいとこさがし／手紙や本／むかしの本／万葉集</t>
    <phoneticPr fontId="2"/>
  </si>
  <si>
    <t>亀山のいいとこさがし／景色のよいところや歴史を知る手掛かりとなるもの／川</t>
    <phoneticPr fontId="2"/>
  </si>
  <si>
    <t>http://kameyamarekihaku.jp/kodomo/w_e_b/iitoko/tegakari/page001.html</t>
  </si>
  <si>
    <t>天応元</t>
    <rPh sb="0" eb="1">
      <t>テン</t>
    </rPh>
    <rPh sb="1" eb="2">
      <t>オウ</t>
    </rPh>
    <rPh sb="2" eb="3">
      <t>ガン</t>
    </rPh>
    <phoneticPr fontId="2"/>
  </si>
  <si>
    <t>鈴鹿関の西中城門の太鼓が三度自然に鳴る</t>
    <rPh sb="5" eb="6">
      <t>ナカ</t>
    </rPh>
    <rPh sb="7" eb="8">
      <t>モン</t>
    </rPh>
    <rPh sb="12" eb="14">
      <t>サンド</t>
    </rPh>
    <phoneticPr fontId="2"/>
  </si>
  <si>
    <t>光仁天皇の病気、鈴鹿・不破・愛発関を固める</t>
    <rPh sb="0" eb="2">
      <t>コウニン</t>
    </rPh>
    <rPh sb="2" eb="4">
      <t>テンノウ</t>
    </rPh>
    <rPh sb="5" eb="7">
      <t>ビョウキ</t>
    </rPh>
    <phoneticPr fontId="2"/>
  </si>
  <si>
    <t>続日本紀</t>
  </si>
  <si>
    <t>『続日本紀』
『web図録』常設展web図録
『亀山市史』史料編 古代中世
『亀山市史』考古分野
『亀山市史』通史 原始古代中世</t>
    <rPh sb="1" eb="5">
      <t>ショクニホンギ</t>
    </rPh>
    <rPh sb="29" eb="31">
      <t>シリョウ</t>
    </rPh>
    <rPh sb="38" eb="48">
      <t>カ</t>
    </rPh>
    <rPh sb="49" eb="64">
      <t>ツ</t>
    </rPh>
    <phoneticPr fontId="2"/>
  </si>
  <si>
    <t>亀山のいいとこさがし／景色のよいところや歴史を知る手掛かりとなるもの／歴史上の場所／鈴鹿関跡（２）</t>
    <phoneticPr fontId="2"/>
  </si>
  <si>
    <t>鈴鹿関の城門や守屋四軒が二日の間自然に鳴り響く</t>
    <rPh sb="5" eb="6">
      <t>モン</t>
    </rPh>
    <rPh sb="7" eb="8">
      <t>モリ</t>
    </rPh>
    <rPh sb="8" eb="9">
      <t>ヤ</t>
    </rPh>
    <rPh sb="9" eb="11">
      <t>４ケン</t>
    </rPh>
    <rPh sb="12" eb="14">
      <t>フツカ</t>
    </rPh>
    <rPh sb="15" eb="16">
      <t>アイダ</t>
    </rPh>
    <rPh sb="21" eb="22">
      <t>ヒビ</t>
    </rPh>
    <phoneticPr fontId="2"/>
  </si>
  <si>
    <t>亀山のいいとこさがし／景色のよいところや歴史を知る手掛かりとなるもの／歴史上の場所／鈴鹿関跡（２）</t>
    <rPh sb="44" eb="45">
      <t>セキ</t>
    </rPh>
    <rPh sb="45" eb="46">
      <t>アト</t>
    </rPh>
    <phoneticPr fontId="2"/>
  </si>
  <si>
    <t>天応２</t>
    <rPh sb="0" eb="2">
      <t>テンオウ</t>
    </rPh>
    <phoneticPr fontId="2"/>
  </si>
  <si>
    <t>氷上川継の変により鈴鹿・不破・愛発関を固める</t>
    <rPh sb="0" eb="1">
      <t>コオリ</t>
    </rPh>
    <rPh sb="1" eb="2">
      <t>ウエ</t>
    </rPh>
    <rPh sb="2" eb="3">
      <t>カワ</t>
    </rPh>
    <rPh sb="3" eb="4">
      <t>ツ</t>
    </rPh>
    <rPh sb="5" eb="6">
      <t>ヘン</t>
    </rPh>
    <phoneticPr fontId="2"/>
  </si>
  <si>
    <t>日本の歴史の中の亀山／古代の亀山／古代国家のあゆみと亀山／律令国家の成立と亀山／古代の関所</t>
    <phoneticPr fontId="2"/>
  </si>
  <si>
    <t>『続日本紀』
『web図録』常設展web図録
『亀山市史』考古分野
『亀山市史』通史 原始古代中世
『亀山市史』史料編 古代中世</t>
    <rPh sb="1" eb="5">
      <t>ショクニホンギ</t>
    </rPh>
    <rPh sb="56" eb="58">
      <t>シリョウ</t>
    </rPh>
    <phoneticPr fontId="2"/>
  </si>
  <si>
    <t>亀山のいいとこさがし／景色のよいところや歴史を知る手掛かりとなるもの／歴史上の場所／鈴鹿関跡（２）</t>
    <phoneticPr fontId="2"/>
  </si>
  <si>
    <t>延暦3</t>
  </si>
  <si>
    <t>京都に都を移す（長岡京）</t>
  </si>
  <si>
    <t>奈良時代</t>
    <rPh sb="0" eb="2">
      <t>ナラ</t>
    </rPh>
    <phoneticPr fontId="2"/>
  </si>
  <si>
    <t>延暦8</t>
    <phoneticPr fontId="2"/>
  </si>
  <si>
    <t>鈴鹿関が廃止される</t>
  </si>
  <si>
    <t>日本の歴史の中の亀山／古代の亀山／古代国家のあゆみと亀山／律令国家の成立と亀山／古代の関所</t>
    <phoneticPr fontId="2"/>
  </si>
  <si>
    <t>亀山のいいとこさがし／景色のよいところや歴史を知る手掛かりとなるもの／歴史上の場所／鈴鹿関跡（２）</t>
    <rPh sb="44" eb="46">
      <t>セキアト</t>
    </rPh>
    <phoneticPr fontId="2"/>
  </si>
  <si>
    <t>平安時代</t>
  </si>
  <si>
    <t>延暦13</t>
  </si>
  <si>
    <t>京都に都を移す(平安京)</t>
  </si>
  <si>
    <t>　</t>
    <phoneticPr fontId="2"/>
  </si>
  <si>
    <t>延暦21</t>
  </si>
  <si>
    <t>坂上田村麻呂が胆沢城を築く</t>
  </si>
  <si>
    <t>このころ慈恩寺阿弥陀如来立像が造られる</t>
  </si>
  <si>
    <t>亀山西</t>
    <rPh sb="2" eb="3">
      <t>ニシ</t>
    </rPh>
    <phoneticPr fontId="2"/>
  </si>
  <si>
    <t>野村</t>
    <rPh sb="0" eb="2">
      <t>ノムラ</t>
    </rPh>
    <phoneticPr fontId="2"/>
  </si>
  <si>
    <t>日本の歴史の中の亀山／中世の亀山／武士の台頭と亀山／仏教の広がり／亀山の古代中世寺院</t>
    <rPh sb="26" eb="28">
      <t>ブッキョウ</t>
    </rPh>
    <rPh sb="29" eb="30">
      <t>ヒロ</t>
    </rPh>
    <rPh sb="33" eb="35">
      <t>カメヤマ</t>
    </rPh>
    <rPh sb="36" eb="38">
      <t>コダイ</t>
    </rPh>
    <rPh sb="38" eb="40">
      <t>チュウセイ</t>
    </rPh>
    <rPh sb="40" eb="42">
      <t>ジイン</t>
    </rPh>
    <phoneticPr fontId="2"/>
  </si>
  <si>
    <t>http://kameyamarekihaku.jp/kodomo/w_e_b/rekishi/chusei/taitou/bukkyo/ziin/index.html</t>
  </si>
  <si>
    <t>『慈恩寺木造阿弥陀如来立像調査概報』
『亀山市史』美術工芸編
『亀山市史』通史 原始古代中世
『亀山市史』通史 近代現代</t>
    <rPh sb="1" eb="4">
      <t>ジオンジ</t>
    </rPh>
    <rPh sb="29" eb="30">
      <t>ヘン</t>
    </rPh>
    <rPh sb="31" eb="46">
      <t>ツ</t>
    </rPh>
    <rPh sb="56" eb="57">
      <t>キン</t>
    </rPh>
    <rPh sb="57" eb="58">
      <t>ダイ</t>
    </rPh>
    <rPh sb="58" eb="60">
      <t>ゲンダイ</t>
    </rPh>
    <phoneticPr fontId="2"/>
  </si>
  <si>
    <t>亀山のいいとこさがし／仏像</t>
    <rPh sb="0" eb="2">
      <t>カメヤマ</t>
    </rPh>
    <rPh sb="11" eb="13">
      <t>ブツゾウ</t>
    </rPh>
    <phoneticPr fontId="2"/>
  </si>
  <si>
    <t>http://kameyamarekihaku.jp/kodomo/w_e_b/iitoko/butsuzo/index.html</t>
  </si>
  <si>
    <t>藤原氏の勢いがさかんになる</t>
  </si>
  <si>
    <t>貞観8</t>
    <rPh sb="0" eb="2">
      <t>テイカン</t>
    </rPh>
    <phoneticPr fontId="2"/>
  </si>
  <si>
    <t>藤原良房が摂政になる</t>
    <phoneticPr fontId="2"/>
  </si>
  <si>
    <t>仁和2</t>
  </si>
  <si>
    <t>源昇ら、新たに阿須波道を通す際の利害について調べるために派遣される
（鈴鹿峠越）鈴鹿峠の道がひらかれる</t>
    <rPh sb="0" eb="1">
      <t>ミナモト</t>
    </rPh>
    <rPh sb="1" eb="2">
      <t>ノボル</t>
    </rPh>
    <rPh sb="4" eb="5">
      <t>アラ</t>
    </rPh>
    <rPh sb="7" eb="8">
      <t>ア</t>
    </rPh>
    <rPh sb="8" eb="9">
      <t>ス</t>
    </rPh>
    <rPh sb="9" eb="10">
      <t>ナミ</t>
    </rPh>
    <rPh sb="10" eb="11">
      <t>ミチ</t>
    </rPh>
    <rPh sb="12" eb="13">
      <t>トオ</t>
    </rPh>
    <rPh sb="14" eb="15">
      <t>サイ</t>
    </rPh>
    <rPh sb="16" eb="18">
      <t>リガイ</t>
    </rPh>
    <rPh sb="22" eb="23">
      <t>シラ</t>
    </rPh>
    <rPh sb="28" eb="30">
      <t>ハケン</t>
    </rPh>
    <rPh sb="35" eb="37">
      <t>スズカ</t>
    </rPh>
    <rPh sb="37" eb="39">
      <t>トウゲゴ</t>
    </rPh>
    <phoneticPr fontId="2"/>
  </si>
  <si>
    <t>関町坂下</t>
    <rPh sb="0" eb="1">
      <t>セキ</t>
    </rPh>
    <rPh sb="1" eb="2">
      <t>チョウ</t>
    </rPh>
    <phoneticPr fontId="2"/>
  </si>
  <si>
    <t>鈴鹿峠</t>
    <rPh sb="0" eb="2">
      <t>スズカ</t>
    </rPh>
    <rPh sb="2" eb="3">
      <t>トウゲ</t>
    </rPh>
    <phoneticPr fontId="2"/>
  </si>
  <si>
    <t>古典に出てくる亀山／歌／鈴鹿山</t>
    <rPh sb="0" eb="2">
      <t>コテン</t>
    </rPh>
    <rPh sb="3" eb="4">
      <t>デ</t>
    </rPh>
    <rPh sb="7" eb="9">
      <t>カメヤマ</t>
    </rPh>
    <rPh sb="10" eb="11">
      <t>ウタ</t>
    </rPh>
    <rPh sb="12" eb="15">
      <t>スズカヤマ</t>
    </rPh>
    <phoneticPr fontId="2"/>
  </si>
  <si>
    <t>http://kameyamarekihaku.jp/kodomo/w_e_b/koten/uta/page001.html</t>
  </si>
  <si>
    <t>『亀山市史』史料編 古代中世
『亀山市史』考古分野</t>
    <rPh sb="15" eb="25">
      <t>カ</t>
    </rPh>
    <phoneticPr fontId="2"/>
  </si>
  <si>
    <t>日本の歴史の中の亀山／古代の亀山／古代国家のあゆみと亀山／地域の開発／鈴鹿峠の開通</t>
    <rPh sb="37" eb="38">
      <t>トウゲ</t>
    </rPh>
    <rPh sb="39" eb="41">
      <t>カイツウ</t>
    </rPh>
    <phoneticPr fontId="2"/>
  </si>
  <si>
    <t>http://kameyamarekihaku.jp/kodomo/w_e_b/rekishi/kodai/kodaikokka/chiiki/page002.html</t>
  </si>
  <si>
    <t>亀山のいいとこさがし／景色のよいところや歴史を知る手掛かりとなるもの／歴史上の場所／鈴鹿峠</t>
    <rPh sb="44" eb="45">
      <t>トウゲ</t>
    </rPh>
    <phoneticPr fontId="2"/>
  </si>
  <si>
    <t>http://kameyamarekihaku.jp/kodomo/w_e_b/iitoko/tegakari/basyo/page006.html</t>
  </si>
  <si>
    <t>斎宮に赴く繁子内親王、鈴鹿頓宮で火災に遭う</t>
    <rPh sb="0" eb="2">
      <t>サイクウ</t>
    </rPh>
    <rPh sb="3" eb="4">
      <t>オモム</t>
    </rPh>
    <rPh sb="5" eb="7">
      <t>シゲコ</t>
    </rPh>
    <rPh sb="7" eb="10">
      <t>ナイシンノウ</t>
    </rPh>
    <rPh sb="11" eb="13">
      <t>スズカ</t>
    </rPh>
    <rPh sb="13" eb="14">
      <t>トン</t>
    </rPh>
    <rPh sb="14" eb="15">
      <t>グウ</t>
    </rPh>
    <rPh sb="16" eb="18">
      <t>カサイ</t>
    </rPh>
    <rPh sb="19" eb="20">
      <t>ア</t>
    </rPh>
    <phoneticPr fontId="2"/>
  </si>
  <si>
    <t>関町坂下</t>
    <rPh sb="0" eb="2">
      <t>セキチョウ</t>
    </rPh>
    <rPh sb="2" eb="4">
      <t>サカシタ</t>
    </rPh>
    <phoneticPr fontId="2"/>
  </si>
  <si>
    <t>鈴鹿頓宮跡</t>
    <phoneticPr fontId="2"/>
  </si>
  <si>
    <t>古典に出てくる亀山／旅／斎王の行列</t>
    <rPh sb="0" eb="2">
      <t>コテン</t>
    </rPh>
    <rPh sb="3" eb="4">
      <t>デ</t>
    </rPh>
    <rPh sb="7" eb="9">
      <t>カメヤマ</t>
    </rPh>
    <rPh sb="10" eb="11">
      <t>タビ</t>
    </rPh>
    <rPh sb="12" eb="14">
      <t>サイオウ</t>
    </rPh>
    <rPh sb="15" eb="17">
      <t>ギョウレツ</t>
    </rPh>
    <phoneticPr fontId="2"/>
  </si>
  <si>
    <t>http://kameyamarekihaku.jp/kodomo/w_e_b/koten/tabi/page005.html</t>
  </si>
  <si>
    <t xml:space="preserve">『亀山市史』史料編 古代中世
『亀山市史』通史 原始古代中世
</t>
    <phoneticPr fontId="2"/>
  </si>
  <si>
    <t>仁和3</t>
  </si>
  <si>
    <t>藤原基経が関白になる</t>
    <rPh sb="2" eb="3">
      <t>モト</t>
    </rPh>
    <phoneticPr fontId="2"/>
  </si>
  <si>
    <t>五畿七道に大地震</t>
    <rPh sb="0" eb="4">
      <t>ゴキシチドウ</t>
    </rPh>
    <rPh sb="5" eb="8">
      <t>オオジシン</t>
    </rPh>
    <phoneticPr fontId="2"/>
  </si>
  <si>
    <t>『日本三代記略』</t>
    <rPh sb="1" eb="3">
      <t>ニホン</t>
    </rPh>
    <rPh sb="3" eb="6">
      <t>サンダイキ</t>
    </rPh>
    <rPh sb="6" eb="7">
      <t>リャク</t>
    </rPh>
    <phoneticPr fontId="2"/>
  </si>
  <si>
    <t>寛平6</t>
  </si>
  <si>
    <t>遣唐使を停止する</t>
  </si>
  <si>
    <t>地方に武士がおこる</t>
  </si>
  <si>
    <t>延長５</t>
    <rPh sb="0" eb="2">
      <t>エンチョウ</t>
    </rPh>
    <phoneticPr fontId="2"/>
  </si>
  <si>
    <t>『延喜式』が完成する</t>
    <rPh sb="1" eb="4">
      <t>エンギシキ</t>
    </rPh>
    <rPh sb="6" eb="8">
      <t>カンセイ</t>
    </rPh>
    <phoneticPr fontId="2"/>
  </si>
  <si>
    <t>『延喜式』に鈴鹿郡に関係する規定やヤマトタケルの墓が掲げられる</t>
    <rPh sb="1" eb="4">
      <t>エンギシキ</t>
    </rPh>
    <rPh sb="6" eb="8">
      <t>スズカ</t>
    </rPh>
    <rPh sb="8" eb="9">
      <t>グン</t>
    </rPh>
    <rPh sb="10" eb="12">
      <t>カンケイ</t>
    </rPh>
    <rPh sb="14" eb="16">
      <t>キテイ</t>
    </rPh>
    <rPh sb="24" eb="25">
      <t>ハカ</t>
    </rPh>
    <rPh sb="26" eb="27">
      <t>カカ</t>
    </rPh>
    <phoneticPr fontId="2"/>
  </si>
  <si>
    <t>延喜式（館蔵明倫館文庫）</t>
    <rPh sb="0" eb="3">
      <t>エンギシキ</t>
    </rPh>
    <rPh sb="4" eb="6">
      <t>カンゾウ</t>
    </rPh>
    <rPh sb="6" eb="9">
      <t>メイリンカン</t>
    </rPh>
    <rPh sb="9" eb="11">
      <t>ブンコ</t>
    </rPh>
    <phoneticPr fontId="2"/>
  </si>
  <si>
    <t>延喜式内社（忍山・大井・片山神社他）</t>
    <rPh sb="0" eb="2">
      <t>エンギ</t>
    </rPh>
    <rPh sb="2" eb="5">
      <t>シキナイシャ</t>
    </rPh>
    <rPh sb="6" eb="7">
      <t>シノブ</t>
    </rPh>
    <rPh sb="7" eb="8">
      <t>ヤマ</t>
    </rPh>
    <rPh sb="9" eb="11">
      <t>オオイ</t>
    </rPh>
    <rPh sb="12" eb="14">
      <t>カタヤマ</t>
    </rPh>
    <rPh sb="14" eb="16">
      <t>ジンジャ</t>
    </rPh>
    <rPh sb="16" eb="17">
      <t>ホカ</t>
    </rPh>
    <phoneticPr fontId="2"/>
  </si>
  <si>
    <t>亀山のむかしばなし／亀山にまつわるひとびとの話／ヤマトタケル</t>
    <phoneticPr fontId="2"/>
  </si>
  <si>
    <t>『亀山市史』史料編 古代中世
『亀山市史』通史 原始古代中世</t>
    <rPh sb="15" eb="30">
      <t>ツ</t>
    </rPh>
    <phoneticPr fontId="2"/>
  </si>
  <si>
    <t>古典に出てくる亀山／物語／寺や神社の話</t>
    <rPh sb="0" eb="2">
      <t>コテン</t>
    </rPh>
    <rPh sb="3" eb="4">
      <t>デ</t>
    </rPh>
    <rPh sb="7" eb="10">
      <t>カメヤマ・</t>
    </rPh>
    <rPh sb="10" eb="12">
      <t>モノガタリ</t>
    </rPh>
    <rPh sb="13" eb="14">
      <t>テラ</t>
    </rPh>
    <rPh sb="15" eb="17">
      <t>ジンジャ</t>
    </rPh>
    <rPh sb="18" eb="19">
      <t>ハナシ</t>
    </rPh>
    <phoneticPr fontId="2"/>
  </si>
  <si>
    <t>http://kameyamarekihaku.jp/kodomo/w_e_b/koten/monogatari/page003.html</t>
  </si>
  <si>
    <t>日本の歴史の中の亀山／古代の亀山／古代国家のあゆみと亀山／天平文化と亀山／ヤマトタケルと能褒野</t>
    <rPh sb="44" eb="47">
      <t>ノボノ</t>
    </rPh>
    <phoneticPr fontId="2"/>
  </si>
  <si>
    <t>亀山のいいとこさがし／手紙や本／むかしの本／延喜式</t>
    <phoneticPr fontId="2"/>
  </si>
  <si>
    <t>http://kameyamarekihaku.jp/kodomo/w_e_b/iitoko/tegami/hon/page003.html</t>
  </si>
  <si>
    <t>貴族の文化が栄える</t>
  </si>
  <si>
    <t>古今和歌集</t>
  </si>
  <si>
    <t>『古今和歌集』</t>
    <phoneticPr fontId="2"/>
  </si>
  <si>
    <t>承平5</t>
  </si>
  <si>
    <t>平将門の乱がおこる(～40)</t>
  </si>
  <si>
    <t>天慶2</t>
  </si>
  <si>
    <t>『倭名類聚抄』編さんされる</t>
    <rPh sb="1" eb="6">
      <t>ワミョウルイジュショウ</t>
    </rPh>
    <rPh sb="7" eb="8">
      <t>ヘン</t>
    </rPh>
    <phoneticPr fontId="2"/>
  </si>
  <si>
    <t>『倭名類聚抄』に鈴鹿郡の郷名、鈴鹿駅が記される</t>
    <rPh sb="1" eb="6">
      <t>ワミョウルイジュショウ</t>
    </rPh>
    <rPh sb="8" eb="10">
      <t>スズカ</t>
    </rPh>
    <rPh sb="10" eb="11">
      <t>グン</t>
    </rPh>
    <rPh sb="12" eb="13">
      <t>ゴウ</t>
    </rPh>
    <rPh sb="13" eb="14">
      <t>ナ</t>
    </rPh>
    <rPh sb="15" eb="17">
      <t>スズカ</t>
    </rPh>
    <rPh sb="17" eb="18">
      <t>エキ</t>
    </rPh>
    <rPh sb="19" eb="20">
      <t>シル</t>
    </rPh>
    <phoneticPr fontId="2"/>
  </si>
  <si>
    <t>『倭名類聚抄』
『亀山市史』史料編 古代中世
『亀山市史』通史 原始古代中世</t>
    <rPh sb="1" eb="2">
      <t>ワ</t>
    </rPh>
    <rPh sb="2" eb="3">
      <t>ミョウ</t>
    </rPh>
    <rPh sb="3" eb="4">
      <t>ルイ</t>
    </rPh>
    <rPh sb="23" eb="38">
      <t>ツ</t>
    </rPh>
    <phoneticPr fontId="2"/>
  </si>
  <si>
    <t>平将門の乱により鈴鹿関の通行を止める</t>
    <phoneticPr fontId="2"/>
  </si>
  <si>
    <t>関町新所</t>
    <rPh sb="1" eb="2">
      <t>マチ</t>
    </rPh>
    <rPh sb="2" eb="3">
      <t>シン</t>
    </rPh>
    <rPh sb="3" eb="4">
      <t>ショ</t>
    </rPh>
    <phoneticPr fontId="2"/>
  </si>
  <si>
    <t>鈴鹿関</t>
    <phoneticPr fontId="2"/>
  </si>
  <si>
    <t>『亀山市史』史料編 古代中世</t>
    <phoneticPr fontId="2"/>
  </si>
  <si>
    <t>天慶3</t>
  </si>
  <si>
    <t>藤原純友の乱がおこる(～41)</t>
  </si>
  <si>
    <t>藤原純友の乱により鈴鹿関の通行を止める</t>
  </si>
  <si>
    <t>亀山のいいとこさがし／景色のよいところや歴史を知る手掛かりとなるもの／歴史上の場所／鈴鹿関跡（２）</t>
    <phoneticPr fontId="2"/>
  </si>
  <si>
    <t>『亀山市史』史料編 古代中世</t>
    <phoneticPr fontId="2"/>
  </si>
  <si>
    <t>このころ東光寺薬師如来像が造られる</t>
  </si>
  <si>
    <t>野登</t>
  </si>
  <si>
    <t>両尾町原尾</t>
    <rPh sb="0" eb="3">
      <t>フタオチョウ</t>
    </rPh>
    <rPh sb="1" eb="2">
      <t>オ</t>
    </rPh>
    <rPh sb="2" eb="3">
      <t>マチ</t>
    </rPh>
    <rPh sb="3" eb="4">
      <t>ハラ</t>
    </rPh>
    <rPh sb="4" eb="5">
      <t>オ</t>
    </rPh>
    <phoneticPr fontId="2"/>
  </si>
  <si>
    <t>東光寺</t>
    <rPh sb="0" eb="1">
      <t>ヒガシ</t>
    </rPh>
    <rPh sb="1" eb="2">
      <t>ヒカリ</t>
    </rPh>
    <rPh sb="2" eb="3">
      <t>テラ</t>
    </rPh>
    <phoneticPr fontId="2"/>
  </si>
  <si>
    <t>東光寺薬師如来坐像</t>
    <rPh sb="0" eb="1">
      <t>ヒガシ</t>
    </rPh>
    <rPh sb="1" eb="2">
      <t>ヒカリ</t>
    </rPh>
    <rPh sb="2" eb="3">
      <t>テラ</t>
    </rPh>
    <rPh sb="3" eb="5">
      <t>ヤクシ</t>
    </rPh>
    <rPh sb="5" eb="7">
      <t>ニョライ</t>
    </rPh>
    <rPh sb="7" eb="9">
      <t>ザゾウ</t>
    </rPh>
    <phoneticPr fontId="2"/>
  </si>
  <si>
    <t>『亀山市の仏像』
『亀山市史』美術工芸分野</t>
    <rPh sb="1" eb="4">
      <t>カメヤマシ</t>
    </rPh>
    <rPh sb="5" eb="7">
      <t>ブツゾウ</t>
    </rPh>
    <rPh sb="10" eb="13">
      <t>カメヤマシ</t>
    </rPh>
    <rPh sb="13" eb="14">
      <t>シ</t>
    </rPh>
    <rPh sb="15" eb="17">
      <t>ビジュツ</t>
    </rPh>
    <rPh sb="17" eb="19">
      <t>コウゲイ</t>
    </rPh>
    <rPh sb="19" eb="21">
      <t>ブンヤ</t>
    </rPh>
    <phoneticPr fontId="2"/>
  </si>
  <si>
    <t>このころ大藪・糀屋垣内、正知浦、大鼻遺跡など市内で集落が成立する</t>
    <rPh sb="4" eb="6">
      <t>オオヤブ</t>
    </rPh>
    <rPh sb="7" eb="9">
      <t>コウジヤ</t>
    </rPh>
    <rPh sb="9" eb="11">
      <t>カキウチ</t>
    </rPh>
    <rPh sb="12" eb="13">
      <t>タダ</t>
    </rPh>
    <rPh sb="13" eb="14">
      <t>シ</t>
    </rPh>
    <rPh sb="14" eb="15">
      <t>ウラ</t>
    </rPh>
    <rPh sb="16" eb="17">
      <t>オオ</t>
    </rPh>
    <rPh sb="17" eb="18">
      <t>ハナ</t>
    </rPh>
    <rPh sb="18" eb="20">
      <t>イセキ</t>
    </rPh>
    <rPh sb="22" eb="24">
      <t>シナイ</t>
    </rPh>
    <rPh sb="25" eb="27">
      <t>シュウラク</t>
    </rPh>
    <rPh sb="28" eb="30">
      <t>セイリツ</t>
    </rPh>
    <phoneticPr fontId="2"/>
  </si>
  <si>
    <t>亀山西</t>
    <rPh sb="0" eb="2">
      <t>カメヤマ</t>
    </rPh>
    <rPh sb="2" eb="3">
      <t>ニシ</t>
    </rPh>
    <phoneticPr fontId="2"/>
  </si>
  <si>
    <t>亀田町</t>
    <phoneticPr fontId="2"/>
  </si>
  <si>
    <t>日本の歴史の中の亀山／古代の亀山／古代国家のあゆみと亀山／飛鳥時代の亀山／古代の亀山を調べる／さまざまな古代遺跡</t>
    <rPh sb="17" eb="21">
      <t>コダイコッカ</t>
    </rPh>
    <rPh sb="26" eb="28">
      <t>カメヤマ</t>
    </rPh>
    <rPh sb="52" eb="54">
      <t>コダイ</t>
    </rPh>
    <rPh sb="54" eb="56">
      <t>イセキ</t>
    </rPh>
    <phoneticPr fontId="2"/>
  </si>
  <si>
    <t>『亀山市史』考古分野
『亀山市史』通史 原始古代中世
『糀屋垣内遺跡』
『大藪遺跡』
『上椎木古墳・谷山古墳・正知浦古墳群・正知浦遺跡』</t>
    <rPh sb="8" eb="10">
      <t>ブンヤ</t>
    </rPh>
    <phoneticPr fontId="2"/>
  </si>
  <si>
    <t>亀山西</t>
  </si>
  <si>
    <t>羽若町</t>
    <phoneticPr fontId="2"/>
  </si>
  <si>
    <t>太岡寺町</t>
    <phoneticPr fontId="2"/>
  </si>
  <si>
    <t>椿世町</t>
    <phoneticPr fontId="2"/>
  </si>
  <si>
    <t>日本の歴史の中の亀山／古代の亀山／古代国家のあゆみと亀山／飛鳥時代の亀山／仏教の伝来</t>
    <phoneticPr fontId="2"/>
  </si>
  <si>
    <t>『「枕草子』『源氏物語』ができる</t>
    <phoneticPr fontId="2"/>
  </si>
  <si>
    <t>『源氏物語』の中に鈴鹿川の歌が詠まれる　
『枕草子』に鈴鹿関が記される</t>
    <phoneticPr fontId="2"/>
  </si>
  <si>
    <t>関町木崎</t>
    <rPh sb="0" eb="2">
      <t>セキチョウ</t>
    </rPh>
    <rPh sb="2" eb="4">
      <t>キザキ</t>
    </rPh>
    <phoneticPr fontId="2"/>
  </si>
  <si>
    <t>鈴鹿川　鈴鹿関</t>
    <phoneticPr fontId="2"/>
  </si>
  <si>
    <t>紫式部
清少納言</t>
    <phoneticPr fontId="2"/>
  </si>
  <si>
    <t>鈴鹿川</t>
    <rPh sb="0" eb="2">
      <t>スズカ</t>
    </rPh>
    <rPh sb="2" eb="3">
      <t>ガワ</t>
    </rPh>
    <phoneticPr fontId="2"/>
  </si>
  <si>
    <t>日本の歴史の中の亀山／古代の亀山／古代国家のあゆみと亀山／国風文化と亀山／源氏物語</t>
    <rPh sb="37" eb="41">
      <t>ゲンジモノガタリ</t>
    </rPh>
    <phoneticPr fontId="2"/>
  </si>
  <si>
    <t>http://kameyamarekihaku.jp/kodomo/w_e_b/rekishi/kodai/kodaikokka/kokufu/page002.html</t>
  </si>
  <si>
    <t>亀山のいいとこさがし／景色のよいところや歴史を知る手掛かりとなるもの／川</t>
    <phoneticPr fontId="2"/>
  </si>
  <si>
    <t>長和5</t>
  </si>
  <si>
    <t>藤原道長が摂政になり、政治の実権をにぎる</t>
    <rPh sb="5" eb="7">
      <t>セッショウ</t>
    </rPh>
    <phoneticPr fontId="2"/>
  </si>
  <si>
    <t>藤原氏がはなやかなくらしをする</t>
  </si>
  <si>
    <t>長暦元</t>
    <rPh sb="0" eb="2">
      <t>チョウリャク</t>
    </rPh>
    <rPh sb="2" eb="3">
      <t>ガン</t>
    </rPh>
    <phoneticPr fontId="2"/>
  </si>
  <si>
    <t>鈴鹿山の木を伊勢大神宮の造営に用いることが禁止される</t>
    <rPh sb="0" eb="2">
      <t>スズカ</t>
    </rPh>
    <rPh sb="2" eb="3">
      <t>ヤマ</t>
    </rPh>
    <rPh sb="4" eb="5">
      <t>キ</t>
    </rPh>
    <rPh sb="6" eb="8">
      <t>イセ</t>
    </rPh>
    <rPh sb="8" eb="11">
      <t>ダイジングウ</t>
    </rPh>
    <rPh sb="12" eb="14">
      <t>ゾウエイ</t>
    </rPh>
    <rPh sb="15" eb="16">
      <t>モチ</t>
    </rPh>
    <rPh sb="21" eb="23">
      <t>キンシ</t>
    </rPh>
    <phoneticPr fontId="2"/>
  </si>
  <si>
    <t>鈴鹿山</t>
    <phoneticPr fontId="2"/>
  </si>
  <si>
    <t>鈴鹿山</t>
    <rPh sb="0" eb="2">
      <t>スズカ</t>
    </rPh>
    <rPh sb="2" eb="3">
      <t>ヤマ</t>
    </rPh>
    <phoneticPr fontId="2"/>
  </si>
  <si>
    <t>『亀山市史』史料編 古代中世</t>
    <phoneticPr fontId="2"/>
  </si>
  <si>
    <t>天喜元</t>
    <rPh sb="0" eb="2">
      <t>テンギ</t>
    </rPh>
    <rPh sb="2" eb="3">
      <t>ガン</t>
    </rPh>
    <phoneticPr fontId="2"/>
  </si>
  <si>
    <t>平等院鳳凰堂ができる</t>
  </si>
  <si>
    <t>武士の力がしだいに強くなる</t>
  </si>
  <si>
    <t>延久元</t>
  </si>
  <si>
    <t>後三条天皇が荘園の整理を行う</t>
  </si>
  <si>
    <t>源氏と平氏が争うようになる</t>
  </si>
  <si>
    <t>応徳3</t>
  </si>
  <si>
    <t>白河上皇の院政が始まる</t>
  </si>
  <si>
    <t>12世紀初め頃</t>
    <rPh sb="6" eb="7">
      <t>コロ</t>
    </rPh>
    <phoneticPr fontId="2"/>
  </si>
  <si>
    <t>●</t>
    <phoneticPr fontId="2"/>
  </si>
  <si>
    <t>このころ辺法寺町網中付近の水田が開かれる</t>
    <rPh sb="4" eb="5">
      <t>ヘン</t>
    </rPh>
    <rPh sb="5" eb="6">
      <t>ホウ</t>
    </rPh>
    <rPh sb="6" eb="7">
      <t>テラ</t>
    </rPh>
    <rPh sb="7" eb="8">
      <t>マチ</t>
    </rPh>
    <rPh sb="8" eb="10">
      <t>アミナカ</t>
    </rPh>
    <rPh sb="10" eb="12">
      <t>フキン</t>
    </rPh>
    <rPh sb="13" eb="15">
      <t>スイデン</t>
    </rPh>
    <rPh sb="16" eb="17">
      <t>ヒラ</t>
    </rPh>
    <phoneticPr fontId="2"/>
  </si>
  <si>
    <t>野登</t>
    <phoneticPr fontId="2"/>
  </si>
  <si>
    <t>辺法寺町</t>
    <rPh sb="0" eb="1">
      <t>ヘン</t>
    </rPh>
    <rPh sb="1" eb="2">
      <t>ホウ</t>
    </rPh>
    <rPh sb="2" eb="4">
      <t>テラマチ</t>
    </rPh>
    <phoneticPr fontId="2"/>
  </si>
  <si>
    <t>堰</t>
    <rPh sb="0" eb="1">
      <t>セキ</t>
    </rPh>
    <phoneticPr fontId="2"/>
  </si>
  <si>
    <t>『亀山市史』通史 原始古代中世
『辺法寺の歴史』
『亀山市史』考古分野</t>
    <rPh sb="17" eb="18">
      <t>ヘン</t>
    </rPh>
    <rPh sb="18" eb="19">
      <t>ホウ</t>
    </rPh>
    <rPh sb="19" eb="20">
      <t>テラ</t>
    </rPh>
    <rPh sb="21" eb="23">
      <t>レキシ</t>
    </rPh>
    <rPh sb="25" eb="35">
      <t>カ</t>
    </rPh>
    <phoneticPr fontId="2"/>
  </si>
  <si>
    <t>須恵器</t>
    <rPh sb="0" eb="3">
      <t>スエキ</t>
    </rPh>
    <phoneticPr fontId="2"/>
  </si>
  <si>
    <t>日本の歴史の中の亀山／古代の亀山／古代国家のあゆみと亀山／地域の開発／田を開く</t>
    <rPh sb="29" eb="31">
      <t>チイキ</t>
    </rPh>
    <rPh sb="32" eb="34">
      <t>カイハツ</t>
    </rPh>
    <rPh sb="35" eb="36">
      <t>タ</t>
    </rPh>
    <rPh sb="37" eb="38">
      <t>ヒラ</t>
    </rPh>
    <phoneticPr fontId="2"/>
  </si>
  <si>
    <t>http://kameyamarekihaku.jp/kodomo/w_e_b/rekishi/kodai/kodaikokka/chiiki/page001.html</t>
  </si>
  <si>
    <t>『今昔物語集』成立する</t>
    <rPh sb="1" eb="3">
      <t>コンジャク</t>
    </rPh>
    <rPh sb="3" eb="5">
      <t>モノガタリ</t>
    </rPh>
    <rPh sb="5" eb="6">
      <t>シュウ</t>
    </rPh>
    <rPh sb="7" eb="9">
      <t>セイリツ</t>
    </rPh>
    <phoneticPr fontId="2"/>
  </si>
  <si>
    <t>『今昔物語集』に鈴鹿山を舞台とした物語が収められる</t>
    <rPh sb="1" eb="3">
      <t>コンジャク</t>
    </rPh>
    <rPh sb="3" eb="5">
      <t>モノガタリ</t>
    </rPh>
    <rPh sb="5" eb="6">
      <t>シュウ</t>
    </rPh>
    <rPh sb="8" eb="10">
      <t>スズカ</t>
    </rPh>
    <rPh sb="10" eb="11">
      <t>ヤマ</t>
    </rPh>
    <rPh sb="12" eb="14">
      <t>ブタイ</t>
    </rPh>
    <rPh sb="17" eb="19">
      <t>モノガタリ</t>
    </rPh>
    <rPh sb="20" eb="21">
      <t>オサ</t>
    </rPh>
    <phoneticPr fontId="2"/>
  </si>
  <si>
    <t>亀山のむかしばなし／ふしぎなおはなし／商人と蜂</t>
    <rPh sb="19" eb="21">
      <t>ショウニン</t>
    </rPh>
    <rPh sb="22" eb="23">
      <t>ハチ</t>
    </rPh>
    <phoneticPr fontId="2"/>
  </si>
  <si>
    <t>http://kameyamarekihaku.jp/kodomo/w_e_b/hanashi/fushigi/page008.html</t>
  </si>
  <si>
    <t>日本の歴史の中の亀山／古代の亀山／古代国家のあゆみと亀山／国風文化と亀山／今昔物語集</t>
    <rPh sb="29" eb="31">
      <t>コクフウ</t>
    </rPh>
    <rPh sb="31" eb="33">
      <t>ブンカ</t>
    </rPh>
    <rPh sb="34" eb="36">
      <t>カメヤマ</t>
    </rPh>
    <rPh sb="37" eb="39">
      <t>コンジャク</t>
    </rPh>
    <rPh sb="39" eb="41">
      <t>モノガタリ</t>
    </rPh>
    <rPh sb="41" eb="42">
      <t>シュウ</t>
    </rPh>
    <phoneticPr fontId="2"/>
  </si>
  <si>
    <t>http://kameyamarekihaku.jp/kodomo/w_e_b/rekishi/kodai/kodaikokka/kokufu/page001.html</t>
  </si>
  <si>
    <t>和田荘が成立する</t>
    <rPh sb="2" eb="3">
      <t>ショウ</t>
    </rPh>
    <phoneticPr fontId="2"/>
  </si>
  <si>
    <t>井田川</t>
    <phoneticPr fontId="2"/>
  </si>
  <si>
    <t>和田町</t>
    <rPh sb="0" eb="2">
      <t>ワダ</t>
    </rPh>
    <rPh sb="2" eb="3">
      <t>マチ</t>
    </rPh>
    <phoneticPr fontId="2"/>
  </si>
  <si>
    <t>和田荘</t>
    <phoneticPr fontId="2"/>
  </si>
  <si>
    <t>藤原忠通</t>
    <rPh sb="0" eb="2">
      <t>フジワラ</t>
    </rPh>
    <rPh sb="2" eb="3">
      <t>チュウ</t>
    </rPh>
    <phoneticPr fontId="2"/>
  </si>
  <si>
    <t>日本の歴史の中の亀山／古代の亀山／古代国家のあゆみと亀山／亀山の荘園／和田荘</t>
    <rPh sb="29" eb="31">
      <t>カメヤマ</t>
    </rPh>
    <rPh sb="32" eb="34">
      <t>ショウエン</t>
    </rPh>
    <rPh sb="35" eb="37">
      <t>ワダ</t>
    </rPh>
    <rPh sb="37" eb="38">
      <t>ソウ</t>
    </rPh>
    <phoneticPr fontId="2"/>
  </si>
  <si>
    <t>http://kameyamarekihaku.jp/kodomo/w_e_b/rekishi/kodai/kodaikokka/syoen/page001.html</t>
  </si>
  <si>
    <t>日本の歴史の中の亀山／中世の亀山／武士の台頭と亀山／平氏と源氏／平氏の台頭と亀山</t>
    <rPh sb="11" eb="13">
      <t>チュウセイ</t>
    </rPh>
    <rPh sb="17" eb="19">
      <t>ブシ</t>
    </rPh>
    <rPh sb="20" eb="22">
      <t>タイトウ</t>
    </rPh>
    <rPh sb="23" eb="25">
      <t>カメヤマ</t>
    </rPh>
    <rPh sb="26" eb="28">
      <t>ヘイシ</t>
    </rPh>
    <rPh sb="29" eb="31">
      <t>ゲンジ</t>
    </rPh>
    <rPh sb="32" eb="34">
      <t>ヘイシ</t>
    </rPh>
    <rPh sb="35" eb="37">
      <t>タイトウ</t>
    </rPh>
    <rPh sb="38" eb="40">
      <t>カメヤマ</t>
    </rPh>
    <phoneticPr fontId="2"/>
  </si>
  <si>
    <t>http://kameyamarekihaku.jp/kodomo/w_e_b/rekishi/chusei/taitou/heishi/page001.html</t>
  </si>
  <si>
    <t>仁平3</t>
  </si>
  <si>
    <t>平忠盛、鈴鹿山の猟師から名刀抜丸を手に入れたという</t>
    <rPh sb="8" eb="9">
      <t>リョウ</t>
    </rPh>
    <phoneticPr fontId="2"/>
  </si>
  <si>
    <t>平忠盛</t>
    <rPh sb="1" eb="2">
      <t>チュウ</t>
    </rPh>
    <rPh sb="2" eb="3">
      <t>モ</t>
    </rPh>
    <phoneticPr fontId="2"/>
  </si>
  <si>
    <t>亀山のむかしばなし／ふしぎなおはなし／名刀抜丸</t>
    <rPh sb="19" eb="21">
      <t>メイトウ</t>
    </rPh>
    <rPh sb="21" eb="22">
      <t>ヌキ</t>
    </rPh>
    <rPh sb="22" eb="23">
      <t>マル</t>
    </rPh>
    <phoneticPr fontId="2"/>
  </si>
  <si>
    <t>http://kameyamarekihaku.jp/kodomo/w_e_b/hanashi/fushigi/page012.html</t>
  </si>
  <si>
    <t>『源平盛衰記』
『亀山市史』史料編 古代中世
『亀山市史』通史 原始古代中世</t>
    <rPh sb="23" eb="38">
      <t>ツ</t>
    </rPh>
    <phoneticPr fontId="2"/>
  </si>
  <si>
    <t>日本の歴史の中の亀山／中世の亀山／武士の台頭と亀山／平氏と源氏／平氏の台頭と亀山</t>
    <phoneticPr fontId="2"/>
  </si>
  <si>
    <t>亀山のいいとこさがし／景色のよいところや歴史を知る手掛かりとなるもの／山／いわれのある山／三子山</t>
    <rPh sb="0" eb="2">
      <t>カメヤマ</t>
    </rPh>
    <rPh sb="11" eb="35">
      <t>ケシキノヨイトコロヤレキシヲシルテガカリトナルモノ・</t>
    </rPh>
    <rPh sb="35" eb="36">
      <t>ヤマ</t>
    </rPh>
    <rPh sb="43" eb="44">
      <t>ヤマ</t>
    </rPh>
    <rPh sb="45" eb="46">
      <t>ミ</t>
    </rPh>
    <rPh sb="46" eb="47">
      <t>ゴ</t>
    </rPh>
    <rPh sb="47" eb="48">
      <t>ヤマ</t>
    </rPh>
    <phoneticPr fontId="2"/>
  </si>
  <si>
    <t>http://kameyamarekihaku.jp/kodomo/w_e_b/iitoko/tegakari/yama/iware/page007.html</t>
  </si>
  <si>
    <t>保元元</t>
  </si>
  <si>
    <t>保元の乱がおこる</t>
  </si>
  <si>
    <t>保元の乱により鈴鹿関の通行を止める</t>
    <rPh sb="0" eb="2">
      <t>ホゲン</t>
    </rPh>
    <phoneticPr fontId="2"/>
  </si>
  <si>
    <t>関町新所</t>
    <rPh sb="0" eb="1">
      <t>セキ</t>
    </rPh>
    <rPh sb="1" eb="2">
      <t>マチ</t>
    </rPh>
    <rPh sb="2" eb="3">
      <t>シン</t>
    </rPh>
    <rPh sb="3" eb="4">
      <t>ショ</t>
    </rPh>
    <phoneticPr fontId="2"/>
  </si>
  <si>
    <t>鈴鹿関</t>
    <phoneticPr fontId="2"/>
  </si>
  <si>
    <t>亀山のいいとこさがし／景色のよいところや歴史を知る手掛かりとなるもの／歴史上の場所／鈴鹿関跡（２）</t>
    <phoneticPr fontId="2"/>
  </si>
  <si>
    <t>『亀山市史』史料編 古代中世</t>
    <phoneticPr fontId="2"/>
  </si>
  <si>
    <t>平治元</t>
  </si>
  <si>
    <t>平治の乱がおこる</t>
  </si>
  <si>
    <t>平清盛、平治の乱で勝利し鈴鹿関の通行を止める
渋谷金王丸、金王道を通って源義朝の死を京に伝えるという</t>
    <rPh sb="0" eb="1">
      <t>タイラ</t>
    </rPh>
    <rPh sb="1" eb="3">
      <t>キヨモリ</t>
    </rPh>
    <rPh sb="4" eb="6">
      <t>ヘイジ</t>
    </rPh>
    <rPh sb="7" eb="8">
      <t>ラン</t>
    </rPh>
    <rPh sb="9" eb="11">
      <t>ショウリ</t>
    </rPh>
    <rPh sb="40" eb="41">
      <t>シ</t>
    </rPh>
    <rPh sb="42" eb="43">
      <t>キョウ</t>
    </rPh>
    <phoneticPr fontId="2"/>
  </si>
  <si>
    <t>昼生
亀山東
亀山南</t>
    <rPh sb="3" eb="5">
      <t>カメヤマ</t>
    </rPh>
    <rPh sb="5" eb="6">
      <t>ヒガシ</t>
    </rPh>
    <rPh sb="7" eb="9">
      <t>カメヤマ</t>
    </rPh>
    <rPh sb="9" eb="10">
      <t>ミナミ</t>
    </rPh>
    <phoneticPr fontId="2"/>
  </si>
  <si>
    <t>三寺町
阿野田町
天神町</t>
    <rPh sb="0" eb="1">
      <t>ミ</t>
    </rPh>
    <rPh sb="1" eb="3">
      <t>テラマチ</t>
    </rPh>
    <rPh sb="4" eb="5">
      <t>ア</t>
    </rPh>
    <rPh sb="5" eb="7">
      <t>ノダ</t>
    </rPh>
    <rPh sb="7" eb="8">
      <t>マチ</t>
    </rPh>
    <rPh sb="9" eb="11">
      <t>テンジン</t>
    </rPh>
    <rPh sb="11" eb="12">
      <t>マチ</t>
    </rPh>
    <phoneticPr fontId="2"/>
  </si>
  <si>
    <t>金王道</t>
    <phoneticPr fontId="2"/>
  </si>
  <si>
    <t>渋谷金王丸</t>
  </si>
  <si>
    <t>むかしの道と交通／亀山の中世の道</t>
    <rPh sb="4" eb="5">
      <t>ミチ</t>
    </rPh>
    <rPh sb="6" eb="9">
      <t>コウツウ・</t>
    </rPh>
    <rPh sb="9" eb="11">
      <t>カメヤマ</t>
    </rPh>
    <rPh sb="12" eb="14">
      <t>チュウセイ</t>
    </rPh>
    <rPh sb="15" eb="16">
      <t>ミチ</t>
    </rPh>
    <phoneticPr fontId="2"/>
  </si>
  <si>
    <t>http://kameyamarekihaku.jp/kodomo/w_e_b/michi/chusei/index.html</t>
  </si>
  <si>
    <t>『亀山地方郷土史』
『亀山市史』史料編 古代中世
『亀山市史』通史 原始古代中世</t>
    <rPh sb="1" eb="3">
      <t>カメヤマ</t>
    </rPh>
    <rPh sb="3" eb="5">
      <t>チホウ</t>
    </rPh>
    <rPh sb="5" eb="8">
      <t>キョウドシ</t>
    </rPh>
    <phoneticPr fontId="2"/>
  </si>
  <si>
    <t>亀山のむかしばなし／亀山にまつわるひとびとの話／渋谷金王丸</t>
    <rPh sb="24" eb="26">
      <t>シブヤ</t>
    </rPh>
    <rPh sb="26" eb="27">
      <t>コン</t>
    </rPh>
    <rPh sb="27" eb="28">
      <t>オウ</t>
    </rPh>
    <rPh sb="28" eb="29">
      <t>マル</t>
    </rPh>
    <phoneticPr fontId="2"/>
  </si>
  <si>
    <t>http://kameyamarekihaku.jp/kodomo/w_e_b/hanashi/hitobito/page007.html</t>
  </si>
  <si>
    <t>亀山のむかしばなし／おもしろいおはなし／金王道</t>
    <rPh sb="0" eb="2">
      <t>カメヤマ</t>
    </rPh>
    <rPh sb="20" eb="21">
      <t>コン</t>
    </rPh>
    <rPh sb="21" eb="22">
      <t>オウ</t>
    </rPh>
    <rPh sb="22" eb="23">
      <t>ミチ</t>
    </rPh>
    <phoneticPr fontId="2"/>
  </si>
  <si>
    <t>http://kameyamarekihaku.jp/kodomo/w_e_b/hanashi/omoshiroi/page007.html</t>
  </si>
  <si>
    <t>仁安2</t>
  </si>
  <si>
    <t>平清盛が太政大臣になり、政権をにぎる</t>
    <rPh sb="4" eb="6">
      <t>ダジョウ</t>
    </rPh>
    <rPh sb="6" eb="8">
      <t>ダイジン</t>
    </rPh>
    <phoneticPr fontId="2"/>
  </si>
  <si>
    <t>嘉応2</t>
  </si>
  <si>
    <t>平資盛が久我に流されたという</t>
    <phoneticPr fontId="2"/>
  </si>
  <si>
    <t>関町久我</t>
    <rPh sb="0" eb="2">
      <t>セキチョウ</t>
    </rPh>
    <rPh sb="2" eb="4">
      <t>クガ</t>
    </rPh>
    <phoneticPr fontId="2"/>
  </si>
  <si>
    <t>白石神社跡</t>
    <phoneticPr fontId="2"/>
  </si>
  <si>
    <t>平資盛／平盛国</t>
  </si>
  <si>
    <t>白石神社跡写真　平盛国像写真</t>
    <rPh sb="0" eb="2">
      <t>シライシ</t>
    </rPh>
    <rPh sb="2" eb="4">
      <t>ジンジャ</t>
    </rPh>
    <rPh sb="4" eb="5">
      <t>アト</t>
    </rPh>
    <rPh sb="5" eb="7">
      <t>シャシン</t>
    </rPh>
    <rPh sb="8" eb="9">
      <t>タイ</t>
    </rPh>
    <rPh sb="9" eb="10">
      <t>モ</t>
    </rPh>
    <rPh sb="10" eb="11">
      <t>クニ</t>
    </rPh>
    <rPh sb="11" eb="12">
      <t>ゾウ</t>
    </rPh>
    <rPh sb="12" eb="14">
      <t>シャシン</t>
    </rPh>
    <phoneticPr fontId="2"/>
  </si>
  <si>
    <t>平盛国像</t>
    <rPh sb="0" eb="1">
      <t>タイラ</t>
    </rPh>
    <rPh sb="1" eb="2">
      <t>モ</t>
    </rPh>
    <rPh sb="2" eb="3">
      <t>クニ</t>
    </rPh>
    <rPh sb="3" eb="4">
      <t>ゾウ</t>
    </rPh>
    <phoneticPr fontId="2"/>
  </si>
  <si>
    <t>亀山のむかしばなし／亀山にまつわるひとびとの話／平資盛と関氏</t>
    <rPh sb="24" eb="25">
      <t>タイラ</t>
    </rPh>
    <rPh sb="28" eb="29">
      <t>セキ</t>
    </rPh>
    <rPh sb="29" eb="30">
      <t>シ</t>
    </rPh>
    <phoneticPr fontId="2"/>
  </si>
  <si>
    <t>http://kameyamarekihaku.jp/kodomo/w_e_b/hanashi/hitobito/page013.html</t>
  </si>
  <si>
    <t>日本の歴史の中の亀山／中世の亀山／武士の台頭と亀山／平氏と源氏／平資盛と関氏のはじまり</t>
    <rPh sb="33" eb="34">
      <t>シ</t>
    </rPh>
    <rPh sb="34" eb="35">
      <t>モリ</t>
    </rPh>
    <rPh sb="36" eb="38">
      <t>セキシ</t>
    </rPh>
    <phoneticPr fontId="2"/>
  </si>
  <si>
    <t>http://kameyamarekihaku.jp/kodomo/w_e_b/rekishi/chusei/taitou/heishi/hazimari/index.html</t>
  </si>
  <si>
    <t>鳥獣戯画巻・伴大納言絵詞がつくられる</t>
    <rPh sb="0" eb="4">
      <t>チョウジュウギガ</t>
    </rPh>
    <rPh sb="4" eb="5">
      <t>マキ</t>
    </rPh>
    <rPh sb="6" eb="7">
      <t>バン</t>
    </rPh>
    <rPh sb="7" eb="10">
      <t>ダイナゴン</t>
    </rPh>
    <rPh sb="10" eb="11">
      <t>エ</t>
    </rPh>
    <rPh sb="11" eb="12">
      <t>シ</t>
    </rPh>
    <phoneticPr fontId="2"/>
  </si>
  <si>
    <t>『平家物語』に和琴「鈴鹿」のことが記される</t>
    <rPh sb="1" eb="5">
      <t>ヘイケモノガタリ</t>
    </rPh>
    <rPh sb="7" eb="9">
      <t>ワコト</t>
    </rPh>
    <rPh sb="10" eb="12">
      <t>スズカ</t>
    </rPh>
    <rPh sb="17" eb="18">
      <t>シル</t>
    </rPh>
    <phoneticPr fontId="2"/>
  </si>
  <si>
    <t>関町坂下</t>
    <rPh sb="0" eb="2">
      <t>セキチョウ</t>
    </rPh>
    <phoneticPr fontId="2"/>
  </si>
  <si>
    <t>琴の橋</t>
    <phoneticPr fontId="2"/>
  </si>
  <si>
    <t>藤原俊成</t>
    <rPh sb="0" eb="2">
      <t>フジワラ</t>
    </rPh>
    <rPh sb="2" eb="4">
      <t>シュンゼイ</t>
    </rPh>
    <phoneticPr fontId="2"/>
  </si>
  <si>
    <t>琴の橋（新所・坂下）</t>
    <rPh sb="0" eb="1">
      <t>コト</t>
    </rPh>
    <rPh sb="2" eb="3">
      <t>ハシ</t>
    </rPh>
    <rPh sb="4" eb="5">
      <t>シン</t>
    </rPh>
    <rPh sb="5" eb="6">
      <t>ショ</t>
    </rPh>
    <rPh sb="7" eb="9">
      <t>サカシタ</t>
    </rPh>
    <phoneticPr fontId="2"/>
  </si>
  <si>
    <t>亀山のむかしばなし／おもしろいおはなし／琴の橋</t>
    <rPh sb="0" eb="2">
      <t>カメヤマ</t>
    </rPh>
    <rPh sb="20" eb="21">
      <t>コト</t>
    </rPh>
    <rPh sb="22" eb="23">
      <t>ハシ</t>
    </rPh>
    <phoneticPr fontId="2"/>
  </si>
  <si>
    <t>http://kameyamarekihaku.jp/kodomo/w_e_b/hanashi/omoshiroi/page001.html</t>
  </si>
  <si>
    <t>『平家物語』</t>
    <rPh sb="1" eb="5">
      <t>ヘイケモノガタリ</t>
    </rPh>
    <phoneticPr fontId="2"/>
  </si>
  <si>
    <t>安元元</t>
    <rPh sb="0" eb="2">
      <t>アンゲン</t>
    </rPh>
    <rPh sb="2" eb="3">
      <t>ガン</t>
    </rPh>
    <phoneticPr fontId="2"/>
  </si>
  <si>
    <t>和田荘の紀盛親ら稲生神社に大般若経を寄進する</t>
    <rPh sb="2" eb="3">
      <t>ショウ</t>
    </rPh>
    <rPh sb="4" eb="5">
      <t>キ</t>
    </rPh>
    <rPh sb="5" eb="6">
      <t>モ</t>
    </rPh>
    <rPh sb="6" eb="7">
      <t>オヤ</t>
    </rPh>
    <rPh sb="8" eb="10">
      <t>イノウ</t>
    </rPh>
    <rPh sb="10" eb="12">
      <t>ジンジャ</t>
    </rPh>
    <rPh sb="13" eb="14">
      <t>ダイ</t>
    </rPh>
    <rPh sb="14" eb="17">
      <t>ハンニャキョウ</t>
    </rPh>
    <rPh sb="18" eb="20">
      <t>キシン</t>
    </rPh>
    <phoneticPr fontId="2"/>
  </si>
  <si>
    <t>紀盛親・藤原愛子</t>
    <rPh sb="0" eb="1">
      <t>キ</t>
    </rPh>
    <rPh sb="1" eb="3">
      <t>モリチカ</t>
    </rPh>
    <rPh sb="4" eb="6">
      <t>フジワラ</t>
    </rPh>
    <rPh sb="6" eb="8">
      <t>アイコ</t>
    </rPh>
    <phoneticPr fontId="2"/>
  </si>
  <si>
    <t>毛越寺大般若経</t>
    <rPh sb="0" eb="3">
      <t>モウツジ</t>
    </rPh>
    <rPh sb="3" eb="4">
      <t>ダイ</t>
    </rPh>
    <rPh sb="4" eb="7">
      <t>ハンニャキョウ</t>
    </rPh>
    <phoneticPr fontId="2"/>
  </si>
  <si>
    <t>寿永2／治承7</t>
  </si>
  <si>
    <t>源義経が鈴鹿峠から京都へ軍を進める</t>
    <phoneticPr fontId="2"/>
  </si>
  <si>
    <t>鈴鹿峠</t>
    <phoneticPr fontId="2"/>
  </si>
  <si>
    <t>源義経</t>
  </si>
  <si>
    <t>元暦元</t>
    <rPh sb="2" eb="3">
      <t>ガン</t>
    </rPh>
    <phoneticPr fontId="2"/>
  </si>
  <si>
    <t>伊勢・伊賀平氏の乱おこる
平信兼、鈴鹿山を塞ぐ</t>
    <rPh sb="0" eb="2">
      <t>イセ</t>
    </rPh>
    <rPh sb="3" eb="5">
      <t>イガ</t>
    </rPh>
    <rPh sb="13" eb="14">
      <t>タイラ</t>
    </rPh>
    <rPh sb="14" eb="15">
      <t>ノブ</t>
    </rPh>
    <rPh sb="15" eb="16">
      <t>ケン</t>
    </rPh>
    <rPh sb="17" eb="19">
      <t>スズカ</t>
    </rPh>
    <rPh sb="19" eb="20">
      <t>ヤマ</t>
    </rPh>
    <rPh sb="21" eb="22">
      <t>フサ</t>
    </rPh>
    <phoneticPr fontId="2"/>
  </si>
  <si>
    <t>平信兼</t>
    <rPh sb="0" eb="1">
      <t>タイラ</t>
    </rPh>
    <rPh sb="1" eb="2">
      <t>ノブ</t>
    </rPh>
    <rPh sb="2" eb="3">
      <t>ケン</t>
    </rPh>
    <phoneticPr fontId="2"/>
  </si>
  <si>
    <t>『亀山市史』史料編 古代中世
『亀山市史』通史 原始古代中世</t>
    <phoneticPr fontId="2"/>
  </si>
  <si>
    <t>元暦２</t>
    <phoneticPr fontId="2"/>
  </si>
  <si>
    <t>源氏が平氏をほろぼす</t>
  </si>
  <si>
    <t>文治元</t>
    <phoneticPr fontId="2"/>
  </si>
  <si>
    <t>源頼朝が守護・地頭の設置を認められる</t>
  </si>
  <si>
    <t>日本の歴史の中の亀山／中世の亀山／武士の台頭と亀山／武士政権の成立</t>
    <rPh sb="0" eb="2">
      <t>ニホン</t>
    </rPh>
    <rPh sb="3" eb="5">
      <t>レキシ</t>
    </rPh>
    <rPh sb="6" eb="7">
      <t>ナカ</t>
    </rPh>
    <rPh sb="8" eb="10">
      <t>カメヤマ</t>
    </rPh>
    <rPh sb="11" eb="13">
      <t>チュウセイ</t>
    </rPh>
    <rPh sb="14" eb="16">
      <t>カメヤマ</t>
    </rPh>
    <rPh sb="17" eb="19">
      <t>ブシ</t>
    </rPh>
    <rPh sb="20" eb="22">
      <t>タイトウ</t>
    </rPh>
    <rPh sb="23" eb="25">
      <t>カメヤマ</t>
    </rPh>
    <rPh sb="26" eb="28">
      <t>ブシ</t>
    </rPh>
    <rPh sb="28" eb="30">
      <t>セイケン</t>
    </rPh>
    <rPh sb="31" eb="33">
      <t>セイリツ</t>
    </rPh>
    <phoneticPr fontId="2"/>
  </si>
  <si>
    <t>http://kameyamarekihaku.jp/kodomo/w_e_b/rekishi/chusei/taitou/page001.html</t>
  </si>
  <si>
    <t>文治元</t>
    <phoneticPr fontId="2"/>
  </si>
  <si>
    <t>源義経の郎党伊勢義盛、鈴鹿山に籠り伊勢国守護と戦うという</t>
    <rPh sb="0" eb="1">
      <t>ミナモト</t>
    </rPh>
    <rPh sb="1" eb="3">
      <t>ヨシツネ</t>
    </rPh>
    <rPh sb="4" eb="6">
      <t>ロウトウ</t>
    </rPh>
    <rPh sb="6" eb="8">
      <t>イセ</t>
    </rPh>
    <rPh sb="8" eb="10">
      <t>ヨシモリ</t>
    </rPh>
    <rPh sb="11" eb="13">
      <t>スズカ</t>
    </rPh>
    <rPh sb="13" eb="14">
      <t>ヤマ</t>
    </rPh>
    <rPh sb="15" eb="16">
      <t>コモ</t>
    </rPh>
    <rPh sb="17" eb="19">
      <t>イセ</t>
    </rPh>
    <rPh sb="19" eb="20">
      <t>クニ</t>
    </rPh>
    <rPh sb="20" eb="22">
      <t>シュゴ</t>
    </rPh>
    <rPh sb="23" eb="24">
      <t>タタカ</t>
    </rPh>
    <phoneticPr fontId="2"/>
  </si>
  <si>
    <t>伊勢義盛</t>
    <rPh sb="0" eb="2">
      <t>イセ</t>
    </rPh>
    <rPh sb="2" eb="4">
      <t>ヨシモリ</t>
    </rPh>
    <phoneticPr fontId="2"/>
  </si>
  <si>
    <t>日本の歴史の中の亀山／中世の亀山／武士の台頭と亀山／武士政権の成立</t>
    <phoneticPr fontId="2"/>
  </si>
  <si>
    <t>『亀山市史』史料編 古代中世
『亀山市史』通史 原始古代中世</t>
    <phoneticPr fontId="2"/>
  </si>
  <si>
    <t>鎌倉時代</t>
    <rPh sb="0" eb="2">
      <t>カマクラ</t>
    </rPh>
    <phoneticPr fontId="2"/>
  </si>
  <si>
    <t>文治3</t>
    <phoneticPr fontId="2"/>
  </si>
  <si>
    <t>伊勢神宮公卿勅使派遣のための雑事を勤めない荘園のなかに、鈴鹿荘･昼生荘･三箇山（三子山）・葉若村・井後（井尻）村･安楽村等がみえる</t>
    <rPh sb="0" eb="4">
      <t>イセジングウ</t>
    </rPh>
    <rPh sb="4" eb="6">
      <t>クギョウ</t>
    </rPh>
    <rPh sb="6" eb="8">
      <t>チョクシ</t>
    </rPh>
    <rPh sb="8" eb="10">
      <t>ハケン</t>
    </rPh>
    <rPh sb="14" eb="16">
      <t>ザツジ</t>
    </rPh>
    <rPh sb="17" eb="18">
      <t>ツト</t>
    </rPh>
    <rPh sb="21" eb="23">
      <t>ショウエン</t>
    </rPh>
    <rPh sb="28" eb="30">
      <t>スズカ</t>
    </rPh>
    <rPh sb="30" eb="31">
      <t>ショウ</t>
    </rPh>
    <rPh sb="32" eb="35">
      <t>ヒルセイショウ</t>
    </rPh>
    <rPh sb="36" eb="39">
      <t>サンガヤマ</t>
    </rPh>
    <rPh sb="40" eb="42">
      <t>ミコ</t>
    </rPh>
    <rPh sb="42" eb="43">
      <t>ヤマ</t>
    </rPh>
    <rPh sb="45" eb="47">
      <t>ハワカ</t>
    </rPh>
    <rPh sb="47" eb="48">
      <t>ムラ</t>
    </rPh>
    <rPh sb="49" eb="51">
      <t>イゴ</t>
    </rPh>
    <rPh sb="52" eb="54">
      <t>イジリ</t>
    </rPh>
    <rPh sb="55" eb="56">
      <t>ムラ</t>
    </rPh>
    <rPh sb="57" eb="61">
      <t>アンラクムラトウ</t>
    </rPh>
    <phoneticPr fontId="2"/>
  </si>
  <si>
    <t>羽若町</t>
    <rPh sb="2" eb="3">
      <t>マチ</t>
    </rPh>
    <phoneticPr fontId="2"/>
  </si>
  <si>
    <t>灰釉陶器　山茶碗　漆器椀　製塩土器　黒色土器椀</t>
    <rPh sb="0" eb="2">
      <t>カイユウ</t>
    </rPh>
    <rPh sb="2" eb="4">
      <t>トウキ</t>
    </rPh>
    <rPh sb="5" eb="6">
      <t>ヤマ</t>
    </rPh>
    <rPh sb="6" eb="8">
      <t>チャワン</t>
    </rPh>
    <rPh sb="9" eb="11">
      <t>シッキ</t>
    </rPh>
    <rPh sb="11" eb="12">
      <t>ワン</t>
    </rPh>
    <rPh sb="13" eb="15">
      <t>セイエン</t>
    </rPh>
    <rPh sb="15" eb="17">
      <t>ドキ</t>
    </rPh>
    <rPh sb="18" eb="20">
      <t>コクショク</t>
    </rPh>
    <rPh sb="20" eb="22">
      <t>ドキ</t>
    </rPh>
    <rPh sb="22" eb="23">
      <t>ワン</t>
    </rPh>
    <phoneticPr fontId="2"/>
  </si>
  <si>
    <t>日本の歴史の中の亀山／古代の亀山／古代国家のあゆみと亀山／亀山の荘園</t>
    <rPh sb="29" eb="31">
      <t>カメヤマ</t>
    </rPh>
    <rPh sb="32" eb="34">
      <t>ショウエン</t>
    </rPh>
    <phoneticPr fontId="2"/>
  </si>
  <si>
    <t>http://kameyamarekihaku.jp/kodomo/w_e_b/rekishi/kodai/kodaikokka/syoen/index.html</t>
  </si>
  <si>
    <t>『吾妻鏡』
『糀屋垣内遺跡』
『大藪遺跡』
『亀山市史』史料編 古代中世　</t>
    <rPh sb="1" eb="3">
      <t>アズマ</t>
    </rPh>
    <rPh sb="3" eb="4">
      <t>カガミ</t>
    </rPh>
    <rPh sb="7" eb="8">
      <t>コウジ</t>
    </rPh>
    <rPh sb="8" eb="9">
      <t>ヤ</t>
    </rPh>
    <rPh sb="9" eb="11">
      <t>カキウチ</t>
    </rPh>
    <rPh sb="11" eb="13">
      <t>イセキ</t>
    </rPh>
    <rPh sb="16" eb="18">
      <t>オオヤブ</t>
    </rPh>
    <rPh sb="18" eb="20">
      <t>イセキ</t>
    </rPh>
    <phoneticPr fontId="2"/>
  </si>
  <si>
    <t>大藪遺跡</t>
    <phoneticPr fontId="2"/>
  </si>
  <si>
    <t>このころ宗徳寺三重石塔がつくられる</t>
    <phoneticPr fontId="2"/>
  </si>
  <si>
    <t>両尾町原尾</t>
    <rPh sb="0" eb="1">
      <t>リョウ</t>
    </rPh>
    <rPh sb="1" eb="2">
      <t>オ</t>
    </rPh>
    <rPh sb="2" eb="3">
      <t>マチ</t>
    </rPh>
    <rPh sb="3" eb="4">
      <t>ハラ</t>
    </rPh>
    <rPh sb="4" eb="5">
      <t>オ</t>
    </rPh>
    <phoneticPr fontId="2"/>
  </si>
  <si>
    <t>宗徳寺</t>
  </si>
  <si>
    <t>亀山のいいとこさがし／景色のよいところや歴史を知る手掛かりとなるもの／町の風景／宗徳寺の三重石塔</t>
    <rPh sb="35" eb="36">
      <t>マチ</t>
    </rPh>
    <rPh sb="37" eb="39">
      <t>フウケイ</t>
    </rPh>
    <rPh sb="40" eb="42">
      <t>ムネノリ</t>
    </rPh>
    <rPh sb="42" eb="43">
      <t>ジ</t>
    </rPh>
    <rPh sb="44" eb="46">
      <t>サンジュウ</t>
    </rPh>
    <rPh sb="46" eb="47">
      <t>セキ</t>
    </rPh>
    <rPh sb="47" eb="48">
      <t>トウ</t>
    </rPh>
    <phoneticPr fontId="2"/>
  </si>
  <si>
    <t>http://kameyamarekihaku.jp/kodomo/w_e_b/iitoko/tegakari/fukei/page002.html</t>
  </si>
  <si>
    <t>『亀山市の文化財（追録）』
『亀山市史』通史 原始古代中世</t>
    <phoneticPr fontId="2"/>
  </si>
  <si>
    <t>鎌倉時代</t>
  </si>
  <si>
    <t>建久2</t>
  </si>
  <si>
    <t>源頼朝の女房、大進局、三子山を所領として給わる</t>
    <phoneticPr fontId="2"/>
  </si>
  <si>
    <t>亀山のいいとこさがし／景色のよいところや歴史を知る手掛かりとなるもの／三子山</t>
    <rPh sb="0" eb="22">
      <t>カメヤマノイイトコサガシ・ケシキノヨイトコロヤレキシ</t>
    </rPh>
    <rPh sb="23" eb="24">
      <t>シ</t>
    </rPh>
    <rPh sb="25" eb="27">
      <t>テガ</t>
    </rPh>
    <rPh sb="35" eb="36">
      <t>ミ</t>
    </rPh>
    <rPh sb="36" eb="37">
      <t>ゴ</t>
    </rPh>
    <rPh sb="37" eb="38">
      <t>ヤマ</t>
    </rPh>
    <phoneticPr fontId="2"/>
  </si>
  <si>
    <t>建久3</t>
  </si>
  <si>
    <t>源頼朝が征夷大将軍になり、鎌倉に幕府を開く</t>
    <rPh sb="4" eb="6">
      <t>セイイ</t>
    </rPh>
    <rPh sb="6" eb="9">
      <t>タイショウグン</t>
    </rPh>
    <phoneticPr fontId="2"/>
  </si>
  <si>
    <t>伊勢神宮領として、鈴鹿神戸・昼生御厨の地名がみられる</t>
    <rPh sb="0" eb="2">
      <t>イセ</t>
    </rPh>
    <rPh sb="2" eb="4">
      <t>ジングウ</t>
    </rPh>
    <rPh sb="4" eb="5">
      <t>リョウ</t>
    </rPh>
    <rPh sb="9" eb="11">
      <t>スズカ</t>
    </rPh>
    <rPh sb="11" eb="13">
      <t>カンベ</t>
    </rPh>
    <rPh sb="14" eb="16">
      <t>ヒルオ</t>
    </rPh>
    <rPh sb="16" eb="18">
      <t>ミクリヤ</t>
    </rPh>
    <rPh sb="19" eb="21">
      <t>チメイ</t>
    </rPh>
    <phoneticPr fontId="2"/>
  </si>
  <si>
    <t>『亀山市史』通史 原始古代中世
『亀山市史』史料編　古代・中世</t>
    <rPh sb="16" eb="22">
      <t>「カメヤマシシ」</t>
    </rPh>
    <rPh sb="22" eb="24">
      <t>シリョウ</t>
    </rPh>
    <rPh sb="24" eb="25">
      <t>ヘン</t>
    </rPh>
    <rPh sb="26" eb="28">
      <t>コダイ</t>
    </rPh>
    <rPh sb="29" eb="31">
      <t>チュウセイ</t>
    </rPh>
    <phoneticPr fontId="2"/>
  </si>
  <si>
    <t>このころ鷲山に寺院が建立される（正法寺山荘前身寺院）</t>
    <rPh sb="4" eb="6">
      <t>ワシヤマ</t>
    </rPh>
    <rPh sb="7" eb="9">
      <t>ジイン</t>
    </rPh>
    <rPh sb="10" eb="12">
      <t>コンリュウ</t>
    </rPh>
    <rPh sb="16" eb="17">
      <t>タダ</t>
    </rPh>
    <rPh sb="17" eb="18">
      <t>ホウ</t>
    </rPh>
    <rPh sb="18" eb="19">
      <t>テラ</t>
    </rPh>
    <rPh sb="19" eb="21">
      <t>サンソウ</t>
    </rPh>
    <rPh sb="21" eb="23">
      <t>ゼンシン</t>
    </rPh>
    <rPh sb="23" eb="25">
      <t>ジイン</t>
    </rPh>
    <phoneticPr fontId="2"/>
  </si>
  <si>
    <t>関町鷲山</t>
    <rPh sb="0" eb="2">
      <t>セキチョウ</t>
    </rPh>
    <rPh sb="2" eb="4">
      <t>ワシヤマ</t>
    </rPh>
    <phoneticPr fontId="2"/>
  </si>
  <si>
    <t>『亀山市史』通史 原始古代中世
『亀山市史』考古分野</t>
    <rPh sb="24" eb="26">
      <t>ブンヤ</t>
    </rPh>
    <phoneticPr fontId="2"/>
  </si>
  <si>
    <t>亀山のいいとこさがし／景色のよいところや歴史を知る手掛かりとなるもの／歴史上の場所／正法寺山荘跡</t>
    <phoneticPr fontId="2"/>
  </si>
  <si>
    <t>http://kameyamarekihaku.jp/kodomo/w_e_b/rekishi/chusei/taitou/bukkyo/ziin/page001.html</t>
  </si>
  <si>
    <t>正治2</t>
    <rPh sb="0" eb="2">
      <t>ショウジ</t>
    </rPh>
    <phoneticPr fontId="2"/>
  </si>
  <si>
    <t>権大納言吉田経房、和田荘を孫の資経に譲る</t>
    <rPh sb="0" eb="1">
      <t>ケン</t>
    </rPh>
    <rPh sb="1" eb="4">
      <t>ダイナゴン</t>
    </rPh>
    <rPh sb="4" eb="6">
      <t>ヨシダ</t>
    </rPh>
    <rPh sb="6" eb="7">
      <t>キョウ</t>
    </rPh>
    <rPh sb="7" eb="8">
      <t>フサ</t>
    </rPh>
    <rPh sb="9" eb="11">
      <t>ワダ</t>
    </rPh>
    <rPh sb="11" eb="12">
      <t>ショウ</t>
    </rPh>
    <rPh sb="13" eb="14">
      <t>マゴ</t>
    </rPh>
    <rPh sb="15" eb="16">
      <t>シ</t>
    </rPh>
    <rPh sb="16" eb="17">
      <t>キョウ</t>
    </rPh>
    <rPh sb="18" eb="19">
      <t>ユズ</t>
    </rPh>
    <phoneticPr fontId="2"/>
  </si>
  <si>
    <t>和田庄</t>
    <phoneticPr fontId="2"/>
  </si>
  <si>
    <t>『亀山市史』通史 原始古代中世
『亀山市史』史料編　古代・中世</t>
    <rPh sb="17" eb="20">
      <t>カメヤマシ</t>
    </rPh>
    <rPh sb="20" eb="21">
      <t>シ</t>
    </rPh>
    <rPh sb="22" eb="24">
      <t>シリョウ</t>
    </rPh>
    <rPh sb="24" eb="25">
      <t>ヘン</t>
    </rPh>
    <rPh sb="26" eb="28">
      <t>コダイ</t>
    </rPh>
    <rPh sb="29" eb="31">
      <t>チュウセイ</t>
    </rPh>
    <phoneticPr fontId="2"/>
  </si>
  <si>
    <t>元久元</t>
  </si>
  <si>
    <t>若菜五郎、幕府に反乱を起こし、小野城などで戦う（三日平氏の乱）</t>
    <phoneticPr fontId="2"/>
  </si>
  <si>
    <t>神辺</t>
    <rPh sb="0" eb="2">
      <t>カンベ</t>
    </rPh>
    <phoneticPr fontId="2"/>
  </si>
  <si>
    <t>小野町</t>
    <rPh sb="0" eb="2">
      <t>オノ</t>
    </rPh>
    <rPh sb="2" eb="3">
      <t>マチ</t>
    </rPh>
    <phoneticPr fontId="2"/>
  </si>
  <si>
    <t>若菜五郎</t>
  </si>
  <si>
    <t>小野城跡出土品（山茶碗・鞴羽口・鉄滓・緑釉陶器椀）</t>
    <rPh sb="0" eb="2">
      <t>オノ</t>
    </rPh>
    <rPh sb="2" eb="4">
      <t>シロアト</t>
    </rPh>
    <rPh sb="4" eb="6">
      <t>シュツド</t>
    </rPh>
    <rPh sb="6" eb="7">
      <t>ヒン</t>
    </rPh>
    <rPh sb="8" eb="9">
      <t>ヤマ</t>
    </rPh>
    <rPh sb="9" eb="11">
      <t>チャワン</t>
    </rPh>
    <rPh sb="12" eb="13">
      <t>フイゴ</t>
    </rPh>
    <rPh sb="13" eb="14">
      <t>ハネ</t>
    </rPh>
    <rPh sb="14" eb="15">
      <t>グチ</t>
    </rPh>
    <rPh sb="16" eb="17">
      <t>テツ</t>
    </rPh>
    <rPh sb="17" eb="18">
      <t>カス</t>
    </rPh>
    <rPh sb="19" eb="20">
      <t>ミドリ</t>
    </rPh>
    <rPh sb="20" eb="21">
      <t>ユウ</t>
    </rPh>
    <rPh sb="21" eb="23">
      <t>トウキ</t>
    </rPh>
    <rPh sb="23" eb="24">
      <t>ワン</t>
    </rPh>
    <phoneticPr fontId="2"/>
  </si>
  <si>
    <t>小野城跡土塁</t>
    <rPh sb="0" eb="2">
      <t>オノ</t>
    </rPh>
    <rPh sb="2" eb="4">
      <t>シロアト</t>
    </rPh>
    <rPh sb="4" eb="6">
      <t>ドルイ</t>
    </rPh>
    <phoneticPr fontId="2"/>
  </si>
  <si>
    <t>『亀山市史』通史 原始古代中世
『亀山市史』史料編 古代中世
『小野城跡』
『一般国道1号関バイパス建設事業に伴う小野城跡発掘調査報告』</t>
    <rPh sb="32" eb="34">
      <t>オノ</t>
    </rPh>
    <rPh sb="34" eb="36">
      <t>シロアト</t>
    </rPh>
    <phoneticPr fontId="2"/>
  </si>
  <si>
    <t>日本の歴史の中の亀山／中世の亀山／武士の台頭と亀山／武士政権の成立</t>
    <phoneticPr fontId="2"/>
  </si>
  <si>
    <t>関実忠、関谷ニ十四郷の付近の地頭となるという</t>
    <rPh sb="0" eb="1">
      <t>セキ</t>
    </rPh>
    <rPh sb="1" eb="2">
      <t>ミ</t>
    </rPh>
    <rPh sb="2" eb="3">
      <t>チュウ</t>
    </rPh>
    <phoneticPr fontId="2"/>
  </si>
  <si>
    <t>関町久我</t>
    <rPh sb="0" eb="1">
      <t>セキ</t>
    </rPh>
    <rPh sb="1" eb="2">
      <t>チョウ</t>
    </rPh>
    <rPh sb="2" eb="4">
      <t>クガ</t>
    </rPh>
    <phoneticPr fontId="2"/>
  </si>
  <si>
    <t>関実忠</t>
    <rPh sb="0" eb="1">
      <t>セキ</t>
    </rPh>
    <rPh sb="1" eb="2">
      <t>ジツ</t>
    </rPh>
    <rPh sb="2" eb="3">
      <t>チュウ</t>
    </rPh>
    <phoneticPr fontId="2"/>
  </si>
  <si>
    <t>亀山城と宿場／鎌倉時代～安土桃山時代の亀山城主</t>
    <rPh sb="0" eb="3">
      <t>カメヤマジョウ</t>
    </rPh>
    <rPh sb="4" eb="7">
      <t>シュクバ・</t>
    </rPh>
    <phoneticPr fontId="2"/>
  </si>
  <si>
    <t>http://kameyamarekihaku.jp/kodomo/w_e_b/syukuba/joushu-kamakura/index.html</t>
  </si>
  <si>
    <t>『九々五集』
『亀山市史』史料編 古代中世</t>
    <rPh sb="1" eb="3">
      <t>クク</t>
    </rPh>
    <rPh sb="3" eb="5">
      <t>ゴシュウ</t>
    </rPh>
    <phoneticPr fontId="2"/>
  </si>
  <si>
    <t>承久3</t>
  </si>
  <si>
    <t>承久の乱</t>
  </si>
  <si>
    <t>承久の乱により鈴鹿関の通行を止める　　　　　　</t>
    <rPh sb="0" eb="2">
      <t>ジョウキュウ</t>
    </rPh>
    <rPh sb="3" eb="4">
      <t>ラン</t>
    </rPh>
    <rPh sb="7" eb="9">
      <t>スズカ</t>
    </rPh>
    <rPh sb="9" eb="10">
      <t>セキ</t>
    </rPh>
    <rPh sb="11" eb="13">
      <t>ツウコウ</t>
    </rPh>
    <rPh sb="14" eb="15">
      <t>ト</t>
    </rPh>
    <phoneticPr fontId="2"/>
  </si>
  <si>
    <t>北条政子、安楽、井後、葉若を伊勢神宮に寄進する</t>
    <phoneticPr fontId="2"/>
  </si>
  <si>
    <t>野登・亀山東・亀山西</t>
    <rPh sb="3" eb="5">
      <t>カメヤマ</t>
    </rPh>
    <rPh sb="5" eb="6">
      <t>ヒガシ</t>
    </rPh>
    <rPh sb="7" eb="9">
      <t>カメヤマ</t>
    </rPh>
    <rPh sb="9" eb="10">
      <t>ニシ</t>
    </rPh>
    <phoneticPr fontId="2"/>
  </si>
  <si>
    <t>安坂山町安楽・井尻町・羽若町</t>
    <rPh sb="0" eb="1">
      <t>アン</t>
    </rPh>
    <rPh sb="1" eb="2">
      <t>サカ</t>
    </rPh>
    <rPh sb="2" eb="3">
      <t>ヤマ</t>
    </rPh>
    <rPh sb="3" eb="4">
      <t>マチ</t>
    </rPh>
    <rPh sb="4" eb="6">
      <t>アンラク</t>
    </rPh>
    <rPh sb="7" eb="9">
      <t>イジリ</t>
    </rPh>
    <rPh sb="9" eb="10">
      <t>マチ</t>
    </rPh>
    <rPh sb="11" eb="14">
      <t>ハワカチョウ</t>
    </rPh>
    <phoneticPr fontId="2"/>
  </si>
  <si>
    <t>北条政子</t>
    <rPh sb="0" eb="2">
      <t>ホウジョウ</t>
    </rPh>
    <rPh sb="2" eb="4">
      <t>マサコ</t>
    </rPh>
    <phoneticPr fontId="2"/>
  </si>
  <si>
    <t>日本の歴史の中の亀山／古代の亀山／古代国家のあゆみと亀山／亀山の荘園／葉若荘</t>
    <rPh sb="35" eb="37">
      <t>ハワカ</t>
    </rPh>
    <phoneticPr fontId="2"/>
  </si>
  <si>
    <t>http://kameyamarekihaku.jp/kodomo/w_e_b/rekishi/kodai/kodaikokka/syoen/page003.html</t>
  </si>
  <si>
    <t>『亀山市史』史料編 古代中世</t>
    <phoneticPr fontId="2"/>
  </si>
  <si>
    <t>貞応2</t>
    <rPh sb="0" eb="2">
      <t>ジョウオウ</t>
    </rPh>
    <phoneticPr fontId="2"/>
  </si>
  <si>
    <t>某（源光行）、京都から鎌倉を往来し、鈴鹿山から「鈴鹿の関屋」についてを書き記す</t>
    <rPh sb="0" eb="1">
      <t>ボウ</t>
    </rPh>
    <rPh sb="2" eb="3">
      <t>ミナモト</t>
    </rPh>
    <rPh sb="3" eb="4">
      <t>ヒカリ</t>
    </rPh>
    <rPh sb="4" eb="5">
      <t>ユ</t>
    </rPh>
    <rPh sb="14" eb="16">
      <t>オウライ</t>
    </rPh>
    <rPh sb="35" eb="36">
      <t>カ</t>
    </rPh>
    <rPh sb="37" eb="38">
      <t>シル</t>
    </rPh>
    <phoneticPr fontId="2"/>
  </si>
  <si>
    <t>関町坂下</t>
    <rPh sb="0" eb="1">
      <t>セキ</t>
    </rPh>
    <rPh sb="1" eb="2">
      <t>マチ</t>
    </rPh>
    <phoneticPr fontId="2"/>
  </si>
  <si>
    <t>古典に出てくる亀山／旅／鎌倉時代の旅人</t>
    <rPh sb="0" eb="2">
      <t>コテン</t>
    </rPh>
    <rPh sb="3" eb="4">
      <t>デ</t>
    </rPh>
    <rPh sb="7" eb="10">
      <t>カメヤマ・</t>
    </rPh>
    <rPh sb="10" eb="11">
      <t>タビ</t>
    </rPh>
    <rPh sb="12" eb="14">
      <t>カマクラ</t>
    </rPh>
    <rPh sb="14" eb="16">
      <t>ジダイ</t>
    </rPh>
    <rPh sb="17" eb="19">
      <t>タビビト</t>
    </rPh>
    <phoneticPr fontId="2"/>
  </si>
  <si>
    <t>http://kameyamarekihaku.jp/kodomo/w_e_b/koten/tabi/page002.html</t>
  </si>
  <si>
    <t>『海道記』
『亀山市史』史料編 古代中世　</t>
    <rPh sb="1" eb="3">
      <t>カイドウ</t>
    </rPh>
    <rPh sb="3" eb="4">
      <t>キ</t>
    </rPh>
    <phoneticPr fontId="2"/>
  </si>
  <si>
    <t>貞永元</t>
    <rPh sb="2" eb="3">
      <t>ガン</t>
    </rPh>
    <phoneticPr fontId="2"/>
  </si>
  <si>
    <t>武士の法律ができる（御成敗式目）</t>
  </si>
  <si>
    <t>天福2</t>
    <rPh sb="0" eb="1">
      <t>テン</t>
    </rPh>
    <rPh sb="1" eb="2">
      <t>フク</t>
    </rPh>
    <phoneticPr fontId="2"/>
  </si>
  <si>
    <t>伊勢神宮、紛失した神鏡の捜索の為鈴鹿関守に通行人の調査を命じる</t>
    <rPh sb="0" eb="4">
      <t>イセジングウ</t>
    </rPh>
    <rPh sb="5" eb="7">
      <t>フンシツ</t>
    </rPh>
    <rPh sb="9" eb="10">
      <t>カミ</t>
    </rPh>
    <rPh sb="10" eb="11">
      <t>カガミ</t>
    </rPh>
    <rPh sb="12" eb="14">
      <t>ソウサク</t>
    </rPh>
    <rPh sb="15" eb="16">
      <t>タメ</t>
    </rPh>
    <rPh sb="16" eb="18">
      <t>スズカ</t>
    </rPh>
    <rPh sb="18" eb="19">
      <t>セキ</t>
    </rPh>
    <rPh sb="19" eb="20">
      <t>モリ</t>
    </rPh>
    <rPh sb="21" eb="23">
      <t>ツウコウ</t>
    </rPh>
    <rPh sb="23" eb="24">
      <t>ニン</t>
    </rPh>
    <rPh sb="25" eb="27">
      <t>チョウサ</t>
    </rPh>
    <rPh sb="28" eb="29">
      <t>メイ</t>
    </rPh>
    <phoneticPr fontId="2"/>
  </si>
  <si>
    <t>延応元</t>
    <rPh sb="0" eb="2">
      <t>エンオウ</t>
    </rPh>
    <rPh sb="2" eb="3">
      <t>ガン</t>
    </rPh>
    <phoneticPr fontId="2"/>
  </si>
  <si>
    <t>鎌倉幕府、六波羅探題に鈴鹿山の悪賊鎮圧を命じる</t>
    <rPh sb="0" eb="2">
      <t>カマクラ</t>
    </rPh>
    <rPh sb="2" eb="4">
      <t>バクフ</t>
    </rPh>
    <rPh sb="5" eb="10">
      <t>ロクハラタンダイ</t>
    </rPh>
    <rPh sb="11" eb="13">
      <t>スズカ</t>
    </rPh>
    <rPh sb="13" eb="14">
      <t>ヤマ</t>
    </rPh>
    <rPh sb="15" eb="16">
      <t>アク</t>
    </rPh>
    <rPh sb="16" eb="17">
      <t>ゾク</t>
    </rPh>
    <rPh sb="17" eb="19">
      <t>チンアツ</t>
    </rPh>
    <rPh sb="20" eb="21">
      <t>メイ</t>
    </rPh>
    <phoneticPr fontId="2"/>
  </si>
  <si>
    <t>仁治4</t>
    <rPh sb="0" eb="2">
      <t>ニンジ</t>
    </rPh>
    <phoneticPr fontId="2"/>
  </si>
  <si>
    <t>この年より前、昼生荘の人が上洛して天狗にあったという説話が『古今著聞集』にのせられる</t>
    <rPh sb="2" eb="3">
      <t>トシ</t>
    </rPh>
    <rPh sb="5" eb="6">
      <t>マエ</t>
    </rPh>
    <rPh sb="7" eb="9">
      <t>ヒルオ</t>
    </rPh>
    <rPh sb="9" eb="10">
      <t>ショウ</t>
    </rPh>
    <rPh sb="11" eb="12">
      <t>ヒト</t>
    </rPh>
    <rPh sb="13" eb="15">
      <t>ジョウラク</t>
    </rPh>
    <rPh sb="17" eb="19">
      <t>テング</t>
    </rPh>
    <rPh sb="26" eb="28">
      <t>セツワ</t>
    </rPh>
    <rPh sb="30" eb="32">
      <t>コキン</t>
    </rPh>
    <rPh sb="32" eb="33">
      <t>チョ</t>
    </rPh>
    <rPh sb="33" eb="34">
      <t>キ</t>
    </rPh>
    <rPh sb="34" eb="35">
      <t>シュウ</t>
    </rPh>
    <phoneticPr fontId="2"/>
  </si>
  <si>
    <t>昼生</t>
    <phoneticPr fontId="2"/>
  </si>
  <si>
    <t>三寺町・中庄町・下庄町</t>
    <rPh sb="0" eb="2">
      <t>ミツデラ</t>
    </rPh>
    <rPh sb="2" eb="3">
      <t>マチ</t>
    </rPh>
    <rPh sb="4" eb="5">
      <t>ナカ</t>
    </rPh>
    <rPh sb="5" eb="6">
      <t>ショウ</t>
    </rPh>
    <rPh sb="6" eb="7">
      <t>マチ</t>
    </rPh>
    <rPh sb="8" eb="9">
      <t>シタ</t>
    </rPh>
    <rPh sb="9" eb="10">
      <t>ショウ</t>
    </rPh>
    <rPh sb="10" eb="11">
      <t>マチ</t>
    </rPh>
    <phoneticPr fontId="2"/>
  </si>
  <si>
    <t>昼生荘</t>
    <phoneticPr fontId="2"/>
  </si>
  <si>
    <t>亀山のむかしばなし／こわいはなし／天狗にあった人の話</t>
    <rPh sb="17" eb="19">
      <t>テング</t>
    </rPh>
    <rPh sb="23" eb="24">
      <t>ヒト</t>
    </rPh>
    <rPh sb="25" eb="26">
      <t>ハナシ</t>
    </rPh>
    <phoneticPr fontId="2"/>
  </si>
  <si>
    <t>http://kameyamarekihaku.jp/kodomo/w_e_b/hanashi/mukashi/page003.html</t>
  </si>
  <si>
    <t>『古今著聞集』
『亀山市史』史料編 古代中世</t>
    <rPh sb="1" eb="3">
      <t>コキン</t>
    </rPh>
    <rPh sb="3" eb="6">
      <t>チョモンジュウ</t>
    </rPh>
    <phoneticPr fontId="2"/>
  </si>
  <si>
    <t>建長4</t>
    <phoneticPr fontId="2"/>
  </si>
  <si>
    <t>遍照寺観音・勢至菩薩が造られる</t>
  </si>
  <si>
    <t>西町</t>
    <rPh sb="0" eb="1">
      <t>ニシ</t>
    </rPh>
    <rPh sb="1" eb="2">
      <t>マチ</t>
    </rPh>
    <phoneticPr fontId="2"/>
  </si>
  <si>
    <t>院春</t>
  </si>
  <si>
    <t>遍照寺木造観音菩薩坐像・勢至菩薩立像</t>
    <rPh sb="9" eb="10">
      <t>ザ</t>
    </rPh>
    <rPh sb="16" eb="17">
      <t>リュウ</t>
    </rPh>
    <phoneticPr fontId="2"/>
  </si>
  <si>
    <t>『亀山市の文化財（追録）』
『亀山市史』史料編 古代中世
『亀山市史』美術工芸分野</t>
    <rPh sb="1" eb="4">
      <t>カメヤマシ</t>
    </rPh>
    <rPh sb="5" eb="8">
      <t>ブンカザイ</t>
    </rPh>
    <rPh sb="9" eb="11">
      <t>ツイロク</t>
    </rPh>
    <rPh sb="30" eb="32">
      <t>カメヤマ</t>
    </rPh>
    <rPh sb="32" eb="33">
      <t>シ</t>
    </rPh>
    <rPh sb="33" eb="34">
      <t>シ</t>
    </rPh>
    <rPh sb="35" eb="37">
      <t>ビジュツ</t>
    </rPh>
    <rPh sb="37" eb="39">
      <t>コウゲイ</t>
    </rPh>
    <rPh sb="39" eb="41">
      <t>ブンヤ</t>
    </rPh>
    <phoneticPr fontId="2"/>
  </si>
  <si>
    <t>室町時代</t>
  </si>
  <si>
    <t>建長8</t>
    <phoneticPr fontId="2"/>
  </si>
  <si>
    <t>覚仁法親王、越後法眼某を熊野那智社執行職に任命する</t>
    <rPh sb="0" eb="1">
      <t>オボ</t>
    </rPh>
    <rPh sb="1" eb="2">
      <t>ジン</t>
    </rPh>
    <rPh sb="2" eb="3">
      <t>ホウ</t>
    </rPh>
    <rPh sb="3" eb="5">
      <t>シンノウ</t>
    </rPh>
    <rPh sb="6" eb="8">
      <t>エチゴ</t>
    </rPh>
    <rPh sb="8" eb="9">
      <t>ホウ</t>
    </rPh>
    <rPh sb="10" eb="11">
      <t>ボウ</t>
    </rPh>
    <rPh sb="12" eb="14">
      <t>クマノ</t>
    </rPh>
    <rPh sb="14" eb="16">
      <t>ナチ</t>
    </rPh>
    <rPh sb="16" eb="17">
      <t>シャ</t>
    </rPh>
    <rPh sb="17" eb="19">
      <t>シッコウ</t>
    </rPh>
    <rPh sb="19" eb="20">
      <t>ショク</t>
    </rPh>
    <rPh sb="21" eb="23">
      <t>ニンメイ</t>
    </rPh>
    <phoneticPr fontId="2"/>
  </si>
  <si>
    <t>井田川</t>
    <phoneticPr fontId="2"/>
  </si>
  <si>
    <t>覚仁法親王</t>
    <rPh sb="0" eb="1">
      <t>カク</t>
    </rPh>
    <rPh sb="1" eb="2">
      <t>ジン</t>
    </rPh>
    <rPh sb="2" eb="3">
      <t>ホウ</t>
    </rPh>
    <rPh sb="3" eb="5">
      <t>シンノウ</t>
    </rPh>
    <phoneticPr fontId="2"/>
  </si>
  <si>
    <t>日本の歴史の中の亀山／中世の亀山／武士の台頭と亀山／仏教の広がり／石上寺文書</t>
    <rPh sb="33" eb="38">
      <t>セキジョウジモンジョ</t>
    </rPh>
    <phoneticPr fontId="2"/>
  </si>
  <si>
    <t>http://kameyamarekihaku.jp/kodomo/w_e_b/rekishi/chusei/taitou/bukkyo/ziin/page002.html</t>
  </si>
  <si>
    <t>『石上寺文書の世界』
『亀山市史』史料編 古代中世
『歴史ひろば』</t>
    <phoneticPr fontId="2"/>
  </si>
  <si>
    <t>亀山のいいとこさがし／手紙や本／手紙や記録など／石上寺文書</t>
  </si>
  <si>
    <t>正元元</t>
    <rPh sb="0" eb="2">
      <t>ショウゲン</t>
    </rPh>
    <rPh sb="2" eb="3">
      <t>ゲン</t>
    </rPh>
    <phoneticPr fontId="2"/>
  </si>
  <si>
    <t>●</t>
    <phoneticPr fontId="2"/>
  </si>
  <si>
    <t>某、石上寺に寺領を寄進する</t>
    <rPh sb="0" eb="1">
      <t>ボウ</t>
    </rPh>
    <rPh sb="2" eb="4">
      <t>イシガミ</t>
    </rPh>
    <rPh sb="4" eb="5">
      <t>デラ</t>
    </rPh>
    <rPh sb="6" eb="8">
      <t>ジリョウ</t>
    </rPh>
    <rPh sb="9" eb="11">
      <t>キシン</t>
    </rPh>
    <phoneticPr fontId="2"/>
  </si>
  <si>
    <t>井田川</t>
    <phoneticPr fontId="2"/>
  </si>
  <si>
    <t>日本の歴史の中の亀山／中世の亀山／武士の台頭と亀山／仏教の広がり／石上寺文書</t>
    <phoneticPr fontId="2"/>
  </si>
  <si>
    <t>『石上寺文書の世界』
『亀山市史』史料編 古代中世
『歴史ひろば』</t>
    <phoneticPr fontId="2"/>
  </si>
  <si>
    <t>文永２</t>
    <rPh sb="0" eb="2">
      <t>ブンエイ</t>
    </rPh>
    <phoneticPr fontId="2"/>
  </si>
  <si>
    <t>関実忠、若山に亀山城を築く</t>
    <rPh sb="0" eb="1">
      <t>セキ</t>
    </rPh>
    <rPh sb="1" eb="2">
      <t>ジツ</t>
    </rPh>
    <rPh sb="2" eb="3">
      <t>チュウ</t>
    </rPh>
    <rPh sb="4" eb="6">
      <t>ワカヤマ</t>
    </rPh>
    <rPh sb="7" eb="9">
      <t>カメヤマ</t>
    </rPh>
    <rPh sb="9" eb="10">
      <t>ジョウ</t>
    </rPh>
    <rPh sb="11" eb="12">
      <t>キズ</t>
    </rPh>
    <phoneticPr fontId="2"/>
  </si>
  <si>
    <t>若山町</t>
    <rPh sb="0" eb="2">
      <t>ワカヤマ</t>
    </rPh>
    <rPh sb="2" eb="3">
      <t>マチ</t>
    </rPh>
    <phoneticPr fontId="2"/>
  </si>
  <si>
    <t>亀山城と宿場／亀山城のはじまり</t>
    <phoneticPr fontId="2"/>
  </si>
  <si>
    <t>http://kameyamarekihaku.jp/kodomo/w_e_b/syukuba/hazimari/index.html</t>
  </si>
  <si>
    <t>『九々五集』　
『亀山市史』考古分野</t>
    <rPh sb="1" eb="3">
      <t>クク</t>
    </rPh>
    <rPh sb="3" eb="5">
      <t>ゴシュウ</t>
    </rPh>
    <rPh sb="9" eb="11">
      <t>カメヤマ</t>
    </rPh>
    <rPh sb="11" eb="12">
      <t>シ</t>
    </rPh>
    <rPh sb="12" eb="13">
      <t>シ</t>
    </rPh>
    <rPh sb="14" eb="16">
      <t>コウコ</t>
    </rPh>
    <rPh sb="16" eb="18">
      <t>ブンヤ</t>
    </rPh>
    <phoneticPr fontId="2"/>
  </si>
  <si>
    <t>日本の歴史の中の亀山／中世の亀山／武士の台頭と亀山／平氏と源氏／平資盛と関氏のはじまり／平資盛の子孫たち</t>
    <rPh sb="33" eb="34">
      <t>シ</t>
    </rPh>
    <rPh sb="34" eb="35">
      <t>モリ</t>
    </rPh>
    <rPh sb="36" eb="38">
      <t>セキシ</t>
    </rPh>
    <rPh sb="44" eb="45">
      <t>ヒラ</t>
    </rPh>
    <rPh sb="45" eb="46">
      <t>シ</t>
    </rPh>
    <rPh sb="46" eb="47">
      <t>モリ</t>
    </rPh>
    <rPh sb="48" eb="50">
      <t>シソン</t>
    </rPh>
    <phoneticPr fontId="2"/>
  </si>
  <si>
    <t>http://kameyamarekihaku.jp/kodomo/w_e_b/rekishi/chusei/taitou/heishi/hazimari/page001.html</t>
  </si>
  <si>
    <t>日本の歴史の中の亀山／中世の亀山／東アジアとのかかわり／戦国時代の亀山／中世の城跡</t>
    <phoneticPr fontId="2"/>
  </si>
  <si>
    <t>http://kameyamarekihaku.jp/kodomo/w_e_b/rekishi/chusei/kakawari/sengoku/page002.html</t>
  </si>
  <si>
    <t>文永11</t>
    <rPh sb="0" eb="2">
      <t>ブンエイ</t>
    </rPh>
    <phoneticPr fontId="2"/>
  </si>
  <si>
    <t>モンゴル襲来　文永の役</t>
    <rPh sb="4" eb="6">
      <t>シュウライ</t>
    </rPh>
    <rPh sb="7" eb="9">
      <t>ブンエイ</t>
    </rPh>
    <rPh sb="10" eb="11">
      <t>エキ</t>
    </rPh>
    <phoneticPr fontId="2"/>
  </si>
  <si>
    <t>日本の歴史の中の亀山／中世の亀山／東アジアとのかかわり</t>
    <phoneticPr fontId="2"/>
  </si>
  <si>
    <t>http://kameyamarekihaku.jp/kodomo/w_e_b/rekishi/chusei/kakawari/index.html</t>
  </si>
  <si>
    <t>弘安4</t>
    <rPh sb="0" eb="2">
      <t>コウアン</t>
    </rPh>
    <phoneticPr fontId="2"/>
  </si>
  <si>
    <t>モンゴル襲来　弘安の役</t>
    <rPh sb="7" eb="9">
      <t>コウアン</t>
    </rPh>
    <rPh sb="10" eb="11">
      <t>エキ</t>
    </rPh>
    <phoneticPr fontId="2"/>
  </si>
  <si>
    <t>元享4</t>
    <rPh sb="0" eb="1">
      <t>ゲン</t>
    </rPh>
    <rPh sb="1" eb="2">
      <t>トオル</t>
    </rPh>
    <phoneticPr fontId="2"/>
  </si>
  <si>
    <t>僧能心、慈恩寺で『伝法灌頂口伝抄外儀』を書写する</t>
    <rPh sb="0" eb="1">
      <t>ソウ</t>
    </rPh>
    <rPh sb="1" eb="2">
      <t>ノウ</t>
    </rPh>
    <rPh sb="2" eb="3">
      <t>シン</t>
    </rPh>
    <rPh sb="4" eb="7">
      <t>ジオンジ</t>
    </rPh>
    <rPh sb="9" eb="11">
      <t>デンポウ</t>
    </rPh>
    <rPh sb="11" eb="13">
      <t>カンチョウ</t>
    </rPh>
    <rPh sb="13" eb="15">
      <t>クチヅテ</t>
    </rPh>
    <rPh sb="15" eb="16">
      <t>ショウ</t>
    </rPh>
    <rPh sb="16" eb="18">
      <t>ソトギ</t>
    </rPh>
    <rPh sb="20" eb="22">
      <t>ショシャ</t>
    </rPh>
    <phoneticPr fontId="2"/>
  </si>
  <si>
    <t>能心</t>
    <rPh sb="0" eb="1">
      <t>ノウ</t>
    </rPh>
    <rPh sb="1" eb="2">
      <t>ココロ</t>
    </rPh>
    <phoneticPr fontId="2"/>
  </si>
  <si>
    <t>『亀山市史』史料編 古代中世</t>
    <phoneticPr fontId="2"/>
  </si>
  <si>
    <t>室町時代／南北朝時代</t>
  </si>
  <si>
    <t>元弘2/正慶元</t>
    <rPh sb="0" eb="2">
      <t>ゲンコウ</t>
    </rPh>
    <rPh sb="4" eb="6">
      <t>ショウケイ</t>
    </rPh>
    <rPh sb="6" eb="7">
      <t>ガン</t>
    </rPh>
    <phoneticPr fontId="2"/>
  </si>
  <si>
    <t>沙弥道智、宝篋印塔を造立する （亀山神社所在）</t>
    <rPh sb="0" eb="1">
      <t>サ</t>
    </rPh>
    <rPh sb="1" eb="2">
      <t>ヤ</t>
    </rPh>
    <rPh sb="2" eb="3">
      <t>ミチ</t>
    </rPh>
    <rPh sb="3" eb="4">
      <t>サト</t>
    </rPh>
    <rPh sb="5" eb="6">
      <t>タカラ</t>
    </rPh>
    <rPh sb="7" eb="8">
      <t>ジルシ</t>
    </rPh>
    <rPh sb="8" eb="9">
      <t>トウ</t>
    </rPh>
    <rPh sb="10" eb="11">
      <t>ゾウ</t>
    </rPh>
    <rPh sb="11" eb="12">
      <t>タ</t>
    </rPh>
    <rPh sb="16" eb="18">
      <t>カメヤマ</t>
    </rPh>
    <rPh sb="18" eb="20">
      <t>ジンジャ</t>
    </rPh>
    <rPh sb="20" eb="22">
      <t>ショザイ</t>
    </rPh>
    <phoneticPr fontId="2"/>
  </si>
  <si>
    <t>本丸町</t>
    <rPh sb="0" eb="2">
      <t>ホンマル</t>
    </rPh>
    <rPh sb="2" eb="3">
      <t>マチ</t>
    </rPh>
    <phoneticPr fontId="2"/>
  </si>
  <si>
    <t>道智</t>
    <phoneticPr fontId="2"/>
  </si>
  <si>
    <t>『亀山市史』史料編 古代中世
『亀山市史』考古分野</t>
    <rPh sb="16" eb="19">
      <t>カメヤマシ</t>
    </rPh>
    <rPh sb="19" eb="20">
      <t>シ</t>
    </rPh>
    <rPh sb="21" eb="23">
      <t>コウコ</t>
    </rPh>
    <rPh sb="23" eb="25">
      <t>ブンヤ</t>
    </rPh>
    <phoneticPr fontId="2"/>
  </si>
  <si>
    <t>元弘3／正慶2</t>
  </si>
  <si>
    <t>鎌倉幕府がほろぶ　建武の新政</t>
    <rPh sb="9" eb="11">
      <t>ケンム</t>
    </rPh>
    <rPh sb="12" eb="14">
      <t>シンセイ</t>
    </rPh>
    <phoneticPr fontId="2"/>
  </si>
  <si>
    <t>延元元／建武3</t>
    <rPh sb="2" eb="3">
      <t>モト</t>
    </rPh>
    <phoneticPr fontId="2"/>
  </si>
  <si>
    <t>南北朝に分かれて、対立する</t>
    <rPh sb="0" eb="3">
      <t>ナンボクチョウ</t>
    </rPh>
    <rPh sb="4" eb="5">
      <t>ワ</t>
    </rPh>
    <rPh sb="9" eb="11">
      <t>タイリツ</t>
    </rPh>
    <phoneticPr fontId="2"/>
  </si>
  <si>
    <t>日本の歴史の中の亀山／中世の亀山／東アジアとのかかわり／南北朝の動乱と亀山</t>
    <rPh sb="28" eb="31">
      <t>ナンボクチョウ</t>
    </rPh>
    <rPh sb="32" eb="34">
      <t>ドウラン</t>
    </rPh>
    <rPh sb="35" eb="37">
      <t>カメヤマ</t>
    </rPh>
    <phoneticPr fontId="2"/>
  </si>
  <si>
    <t>http://kameyamarekihaku.jp/kodomo/w_e_b/rekishi/chusei/kakawari/nanbokucho/index.html</t>
  </si>
  <si>
    <t>延元2／建武4</t>
    <phoneticPr fontId="2"/>
  </si>
  <si>
    <t>畠山高国、石上寺に被害を与えることを禁止する</t>
    <phoneticPr fontId="2"/>
  </si>
  <si>
    <t>畠山高国</t>
  </si>
  <si>
    <t>日本の歴史の中の亀山／中世の亀山／武士の台頭と亀山／仏教の広がり／石上寺文書</t>
    <phoneticPr fontId="2"/>
  </si>
  <si>
    <t>『石上寺文書の世界』
『亀山市史』史料編 古代中世
『亀山市史』通史 原始古代中世
『歴史ひろば』</t>
    <rPh sb="1" eb="2">
      <t>イシ</t>
    </rPh>
    <rPh sb="2" eb="3">
      <t>ウエ</t>
    </rPh>
    <rPh sb="3" eb="4">
      <t>テラ</t>
    </rPh>
    <rPh sb="4" eb="6">
      <t>モンジョ</t>
    </rPh>
    <rPh sb="7" eb="9">
      <t>セカイ</t>
    </rPh>
    <rPh sb="26" eb="41">
      <t>ツ</t>
    </rPh>
    <phoneticPr fontId="2"/>
  </si>
  <si>
    <t>延元3／暦応元</t>
    <phoneticPr fontId="2"/>
  </si>
  <si>
    <t>足利尊氏が征夷大将軍となり、幕府を開く</t>
    <rPh sb="5" eb="7">
      <t>セイイ</t>
    </rPh>
    <rPh sb="7" eb="10">
      <t>タイショウグン</t>
    </rPh>
    <phoneticPr fontId="2"/>
  </si>
  <si>
    <t>伊勢国守護、高師秋、石上寺に被害を与えることを禁止する</t>
    <rPh sb="0" eb="2">
      <t>イセ</t>
    </rPh>
    <rPh sb="2" eb="3">
      <t>コク</t>
    </rPh>
    <rPh sb="3" eb="5">
      <t>シュゴ</t>
    </rPh>
    <rPh sb="6" eb="7">
      <t>タカ</t>
    </rPh>
    <rPh sb="7" eb="8">
      <t>シ</t>
    </rPh>
    <rPh sb="8" eb="9">
      <t>アキ</t>
    </rPh>
    <phoneticPr fontId="2"/>
  </si>
  <si>
    <t>高師秋</t>
    <rPh sb="0" eb="1">
      <t>タカ</t>
    </rPh>
    <rPh sb="2" eb="3">
      <t>アキ</t>
    </rPh>
    <phoneticPr fontId="2"/>
  </si>
  <si>
    <t>『石上寺文書の世界』
『亀山市史』史料編 古代中世
『亀山市史』通史 原始古代中世
『歴史ひろば』</t>
    <rPh sb="26" eb="41">
      <t>ツ</t>
    </rPh>
    <phoneticPr fontId="2"/>
  </si>
  <si>
    <t>暦応4</t>
    <rPh sb="0" eb="1">
      <t>レキ</t>
    </rPh>
    <rPh sb="1" eb="2">
      <t>オウ</t>
    </rPh>
    <phoneticPr fontId="2"/>
  </si>
  <si>
    <t>僧良賢、慈恩寺所蔵本の『我友之』を書写する</t>
    <rPh sb="0" eb="1">
      <t>ソウ</t>
    </rPh>
    <rPh sb="1" eb="2">
      <t>リョウ</t>
    </rPh>
    <rPh sb="2" eb="3">
      <t>カシコ</t>
    </rPh>
    <rPh sb="4" eb="7">
      <t>ジオンジ</t>
    </rPh>
    <rPh sb="7" eb="9">
      <t>ショゾウ</t>
    </rPh>
    <rPh sb="9" eb="10">
      <t>ホン</t>
    </rPh>
    <rPh sb="12" eb="13">
      <t>ワレ</t>
    </rPh>
    <rPh sb="13" eb="14">
      <t>トモ</t>
    </rPh>
    <rPh sb="14" eb="15">
      <t>ノ</t>
    </rPh>
    <rPh sb="17" eb="19">
      <t>ショシャ</t>
    </rPh>
    <phoneticPr fontId="2"/>
  </si>
  <si>
    <t>良賢</t>
    <rPh sb="0" eb="1">
      <t>ヨ</t>
    </rPh>
    <rPh sb="1" eb="2">
      <t>カシコ</t>
    </rPh>
    <phoneticPr fontId="2"/>
  </si>
  <si>
    <t>我友之（真福寺文庫）</t>
    <rPh sb="0" eb="1">
      <t>ワレ</t>
    </rPh>
    <rPh sb="1" eb="2">
      <t>トモ</t>
    </rPh>
    <rPh sb="2" eb="3">
      <t>ノ</t>
    </rPh>
    <rPh sb="4" eb="5">
      <t>マ</t>
    </rPh>
    <rPh sb="5" eb="6">
      <t>フク</t>
    </rPh>
    <rPh sb="6" eb="7">
      <t>テラ</t>
    </rPh>
    <rPh sb="7" eb="9">
      <t>ブンコ</t>
    </rPh>
    <phoneticPr fontId="2"/>
  </si>
  <si>
    <t>『兵庫県立歴史博物館研究紀要９』
『亀山市史』史料編 古代中世　</t>
    <rPh sb="1" eb="3">
      <t>ヒョウゴ</t>
    </rPh>
    <rPh sb="3" eb="5">
      <t>ケンリツ</t>
    </rPh>
    <rPh sb="5" eb="7">
      <t>レキシ</t>
    </rPh>
    <rPh sb="7" eb="10">
      <t>ハクブツカン</t>
    </rPh>
    <rPh sb="10" eb="12">
      <t>ケンキュウ</t>
    </rPh>
    <rPh sb="12" eb="14">
      <t>キヨウ</t>
    </rPh>
    <phoneticPr fontId="2"/>
  </si>
  <si>
    <t>興国3/康永元</t>
    <rPh sb="0" eb="1">
      <t>キョウ</t>
    </rPh>
    <rPh sb="1" eb="2">
      <t>コク</t>
    </rPh>
    <rPh sb="4" eb="6">
      <t>コウエイ</t>
    </rPh>
    <rPh sb="6" eb="7">
      <t>ガン</t>
    </rPh>
    <phoneticPr fontId="2"/>
  </si>
  <si>
    <t>伊勢国守護、仁木義長、石上寺に祈祷を命じるとともに、被害を与えることを禁止する</t>
    <rPh sb="0" eb="2">
      <t>イセ</t>
    </rPh>
    <rPh sb="2" eb="3">
      <t>コク</t>
    </rPh>
    <rPh sb="3" eb="5">
      <t>シュゴ</t>
    </rPh>
    <rPh sb="6" eb="8">
      <t>ニキ</t>
    </rPh>
    <rPh sb="8" eb="10">
      <t>ヨシナガ</t>
    </rPh>
    <rPh sb="15" eb="17">
      <t>キトウ</t>
    </rPh>
    <rPh sb="18" eb="19">
      <t>メイ</t>
    </rPh>
    <phoneticPr fontId="2"/>
  </si>
  <si>
    <t>仁木義長</t>
    <rPh sb="0" eb="2">
      <t>ニキ</t>
    </rPh>
    <rPh sb="2" eb="4">
      <t>ヨシナガ</t>
    </rPh>
    <phoneticPr fontId="2"/>
  </si>
  <si>
    <t>日本の歴史の中の亀山／中世の亀山／武士の台頭と亀山／仏教の広がり／石上寺文書</t>
    <phoneticPr fontId="2"/>
  </si>
  <si>
    <t>貞治6</t>
    <rPh sb="0" eb="2">
      <t>サダハル</t>
    </rPh>
    <phoneticPr fontId="2"/>
  </si>
  <si>
    <t>関実治、長男を神戸城（鈴鹿市）、次男を国府城（鈴鹿市）、三男を若山城、四男を鹿伏兎城、五男を峯城の城主にするという</t>
    <rPh sb="0" eb="1">
      <t>セキ</t>
    </rPh>
    <rPh sb="1" eb="3">
      <t>サネハル</t>
    </rPh>
    <rPh sb="4" eb="6">
      <t>チョウナン</t>
    </rPh>
    <rPh sb="7" eb="9">
      <t>カンベ</t>
    </rPh>
    <rPh sb="9" eb="10">
      <t>ジョウ</t>
    </rPh>
    <rPh sb="11" eb="13">
      <t>スズカ</t>
    </rPh>
    <rPh sb="13" eb="14">
      <t>シ</t>
    </rPh>
    <rPh sb="16" eb="18">
      <t>ジナン</t>
    </rPh>
    <rPh sb="19" eb="20">
      <t>クニ</t>
    </rPh>
    <rPh sb="20" eb="21">
      <t>フ</t>
    </rPh>
    <rPh sb="21" eb="22">
      <t>ジョウ</t>
    </rPh>
    <rPh sb="23" eb="26">
      <t>スズカシ</t>
    </rPh>
    <rPh sb="28" eb="30">
      <t>サンナン</t>
    </rPh>
    <rPh sb="31" eb="33">
      <t>ワカヤマ</t>
    </rPh>
    <rPh sb="33" eb="34">
      <t>ジョウ</t>
    </rPh>
    <rPh sb="35" eb="37">
      <t>ヨンナン</t>
    </rPh>
    <rPh sb="38" eb="39">
      <t>シカ</t>
    </rPh>
    <rPh sb="39" eb="40">
      <t>フ</t>
    </rPh>
    <rPh sb="40" eb="41">
      <t>ウサギ</t>
    </rPh>
    <rPh sb="41" eb="42">
      <t>ジョウ</t>
    </rPh>
    <rPh sb="43" eb="45">
      <t>ゴナン</t>
    </rPh>
    <rPh sb="46" eb="47">
      <t>ミネ</t>
    </rPh>
    <rPh sb="47" eb="48">
      <t>ジョウ</t>
    </rPh>
    <rPh sb="49" eb="51">
      <t>ジョウシュ</t>
    </rPh>
    <phoneticPr fontId="2"/>
  </si>
  <si>
    <t>亀山城と宿場／亀山城のはじまり／亀山古城</t>
    <rPh sb="16" eb="20">
      <t>カメヤマコジョウ</t>
    </rPh>
    <phoneticPr fontId="2"/>
  </si>
  <si>
    <t>http://kameyamarekihaku.jp/kodomo/w_e_b/syukuba/hazimari/page001.html</t>
  </si>
  <si>
    <t>『亀山市史』史料編 古代中世
『亀山市史』考古分野　　</t>
    <rPh sb="23" eb="25">
      <t>ブンヤ</t>
    </rPh>
    <phoneticPr fontId="2"/>
  </si>
  <si>
    <t>加太</t>
    <phoneticPr fontId="2"/>
  </si>
  <si>
    <t>加太市場</t>
    <phoneticPr fontId="2"/>
  </si>
  <si>
    <t>日本の歴史の中の亀山／中世の亀山／武士の台頭と亀山／平氏と源氏／平資盛と関氏のはじまり／平資盛の子孫たち</t>
    <rPh sb="33" eb="35">
      <t>シモリ</t>
    </rPh>
    <rPh sb="36" eb="38">
      <t>セキシ</t>
    </rPh>
    <rPh sb="44" eb="45">
      <t>タイラ</t>
    </rPh>
    <rPh sb="45" eb="47">
      <t>シモリ</t>
    </rPh>
    <rPh sb="48" eb="50">
      <t>シソン</t>
    </rPh>
    <phoneticPr fontId="2"/>
  </si>
  <si>
    <t>日本の歴史の中の亀山／中世の亀山／東アジアとのかかわり／戦国時代の亀山／中世の城跡</t>
    <phoneticPr fontId="2"/>
  </si>
  <si>
    <t>亀山のいいとこさがし／景色のよいところや歴史を知る手掛かりとなるもの／歴史上の場所／鹿伏兎城跡</t>
    <rPh sb="42" eb="45">
      <t>カブト</t>
    </rPh>
    <rPh sb="45" eb="46">
      <t>ジョウ</t>
    </rPh>
    <rPh sb="46" eb="47">
      <t>アト</t>
    </rPh>
    <phoneticPr fontId="2"/>
  </si>
  <si>
    <t>http://kameyamarekihaku.jp/kodomo/w_e_b/iitoko/tegakari/basyo/page003.html</t>
  </si>
  <si>
    <t>川崎町</t>
    <phoneticPr fontId="2"/>
  </si>
  <si>
    <t>亀山のいいとこさがし／景色のよいところや歴史を知る手掛かりとなるもの／歴史上の場所／峯城跡</t>
    <rPh sb="42" eb="43">
      <t>ミネ</t>
    </rPh>
    <rPh sb="43" eb="44">
      <t>ジョウ</t>
    </rPh>
    <phoneticPr fontId="2"/>
  </si>
  <si>
    <t>http://kameyamarekihaku.jp/kodomo/w_e_b/iitoko/tegakari/basyo/page002.html</t>
  </si>
  <si>
    <t>建徳2/応安4</t>
    <rPh sb="0" eb="2">
      <t>ケントク</t>
    </rPh>
    <rPh sb="4" eb="6">
      <t>オウアン</t>
    </rPh>
    <phoneticPr fontId="2"/>
  </si>
  <si>
    <t>伊勢国守護、細川某、石上寺に被害を与えることを禁止する</t>
    <rPh sb="0" eb="2">
      <t>イセ</t>
    </rPh>
    <rPh sb="2" eb="3">
      <t>コク</t>
    </rPh>
    <rPh sb="3" eb="5">
      <t>シュゴ</t>
    </rPh>
    <rPh sb="6" eb="8">
      <t>ホソカワ</t>
    </rPh>
    <rPh sb="8" eb="9">
      <t>ボウ</t>
    </rPh>
    <phoneticPr fontId="2"/>
  </si>
  <si>
    <t>細川某禁制（寄託石上寺文書）</t>
    <rPh sb="0" eb="2">
      <t>ホソカワ</t>
    </rPh>
    <rPh sb="2" eb="3">
      <t>ボウ</t>
    </rPh>
    <rPh sb="3" eb="5">
      <t>キンセイ</t>
    </rPh>
    <rPh sb="6" eb="8">
      <t>キタク</t>
    </rPh>
    <phoneticPr fontId="2"/>
  </si>
  <si>
    <t>『石上寺文書の世界』
『亀山市史』史料編 古代中世
『歴史ひろば』</t>
    <phoneticPr fontId="2"/>
  </si>
  <si>
    <t>倭寇が高句麗や明の沿岸をおそう</t>
    <rPh sb="0" eb="2">
      <t>ワコウ</t>
    </rPh>
    <rPh sb="3" eb="6">
      <t>コウクリ</t>
    </rPh>
    <rPh sb="7" eb="8">
      <t>ミン</t>
    </rPh>
    <rPh sb="9" eb="11">
      <t>エンガン</t>
    </rPh>
    <phoneticPr fontId="2"/>
  </si>
  <si>
    <t>天授4/永和4</t>
    <rPh sb="0" eb="2">
      <t>テンジュ</t>
    </rPh>
    <phoneticPr fontId="2"/>
  </si>
  <si>
    <t>足利義満が幕府を室町に移す</t>
  </si>
  <si>
    <t>弘和2/永徳2</t>
    <rPh sb="0" eb="1">
      <t>コウ</t>
    </rPh>
    <rPh sb="1" eb="2">
      <t>ワ</t>
    </rPh>
    <rPh sb="4" eb="6">
      <t>エイトク</t>
    </rPh>
    <phoneticPr fontId="2"/>
  </si>
  <si>
    <t>●</t>
    <phoneticPr fontId="2"/>
  </si>
  <si>
    <t>国阿上人、関の地蔵堂で、人々に聖札を与える</t>
    <rPh sb="0" eb="1">
      <t>クニ</t>
    </rPh>
    <rPh sb="1" eb="2">
      <t>ア</t>
    </rPh>
    <rPh sb="2" eb="4">
      <t>ショウニン</t>
    </rPh>
    <rPh sb="5" eb="6">
      <t>セキ</t>
    </rPh>
    <rPh sb="7" eb="10">
      <t>ジゾウドウ</t>
    </rPh>
    <rPh sb="12" eb="14">
      <t>ヒトビト</t>
    </rPh>
    <rPh sb="15" eb="16">
      <t>セイ</t>
    </rPh>
    <rPh sb="16" eb="17">
      <t>フダ</t>
    </rPh>
    <rPh sb="18" eb="19">
      <t>アタ</t>
    </rPh>
    <phoneticPr fontId="2"/>
  </si>
  <si>
    <t>国阿上人</t>
    <rPh sb="0" eb="1">
      <t>クニ</t>
    </rPh>
    <rPh sb="1" eb="2">
      <t>ア</t>
    </rPh>
    <rPh sb="2" eb="4">
      <t>ショウニン</t>
    </rPh>
    <phoneticPr fontId="2"/>
  </si>
  <si>
    <t>地蔵院</t>
    <rPh sb="0" eb="2">
      <t>ジゾウ</t>
    </rPh>
    <rPh sb="2" eb="3">
      <t>イン</t>
    </rPh>
    <phoneticPr fontId="2"/>
  </si>
  <si>
    <t>亀山のいいとこさがし／建物</t>
    <rPh sb="0" eb="2">
      <t>カメヤマ</t>
    </rPh>
    <rPh sb="11" eb="13">
      <t>タテモノ</t>
    </rPh>
    <phoneticPr fontId="2"/>
  </si>
  <si>
    <t>http://kameyamarekihaku.jp/kodomo/w_e_b/iitoko/tatemono/index.html</t>
  </si>
  <si>
    <t>亀山のいいとこさがし／景色のよいところや歴史を知る手掛かりとなるもの／関宿のまちなみ／新所のまちなみ／地蔵院本堂・鐘楼・愛染堂</t>
    <rPh sb="43" eb="45">
      <t>シンジョ</t>
    </rPh>
    <rPh sb="51" eb="56">
      <t>ジゾウインホンドウ</t>
    </rPh>
    <rPh sb="57" eb="59">
      <t>ショウロウ</t>
    </rPh>
    <rPh sb="60" eb="63">
      <t>アイゼンドウ</t>
    </rPh>
    <phoneticPr fontId="2"/>
  </si>
  <si>
    <t>http://kameyamarekihaku.jp/kodomo/w_e_b/iitoko/tegakari/machinami/shinjo/page004.html</t>
  </si>
  <si>
    <t>元中8/明徳2</t>
    <rPh sb="0" eb="1">
      <t>ゲン</t>
    </rPh>
    <rPh sb="1" eb="2">
      <t>チュウ</t>
    </rPh>
    <rPh sb="4" eb="6">
      <t>メイトク</t>
    </rPh>
    <phoneticPr fontId="2"/>
  </si>
  <si>
    <t>奈良西大寺の末寺帳に慈恩寺、新福寺（野村町）、長妙（明）寺が記される</t>
    <rPh sb="0" eb="2">
      <t>ナラ</t>
    </rPh>
    <rPh sb="2" eb="5">
      <t>サイダイジ</t>
    </rPh>
    <rPh sb="6" eb="8">
      <t>マツジ</t>
    </rPh>
    <rPh sb="8" eb="9">
      <t>チョウ</t>
    </rPh>
    <rPh sb="10" eb="13">
      <t>ジオンジ</t>
    </rPh>
    <rPh sb="14" eb="15">
      <t>シン</t>
    </rPh>
    <rPh sb="15" eb="16">
      <t>フク</t>
    </rPh>
    <rPh sb="16" eb="17">
      <t>ジ</t>
    </rPh>
    <rPh sb="18" eb="21">
      <t>ノムラチョウ</t>
    </rPh>
    <rPh sb="23" eb="24">
      <t>チョウ</t>
    </rPh>
    <rPh sb="24" eb="25">
      <t>ミョウ</t>
    </rPh>
    <rPh sb="26" eb="27">
      <t>アカ</t>
    </rPh>
    <rPh sb="28" eb="29">
      <t>ジ</t>
    </rPh>
    <rPh sb="30" eb="31">
      <t>シル</t>
    </rPh>
    <phoneticPr fontId="2"/>
  </si>
  <si>
    <t>新福寺</t>
    <phoneticPr fontId="2"/>
  </si>
  <si>
    <t>川崎</t>
    <phoneticPr fontId="2"/>
  </si>
  <si>
    <t>長明寺町</t>
    <rPh sb="0" eb="4">
      <t>チョウミョウジチョウ</t>
    </rPh>
    <phoneticPr fontId="2"/>
  </si>
  <si>
    <t>長妙寺</t>
    <phoneticPr fontId="2"/>
  </si>
  <si>
    <t>元中9／明徳3</t>
  </si>
  <si>
    <t>南朝と北朝が統一される</t>
  </si>
  <si>
    <t>応永元</t>
    <rPh sb="2" eb="3">
      <t>ガン</t>
    </rPh>
    <phoneticPr fontId="2"/>
  </si>
  <si>
    <t>加太神福寺が建てられる</t>
  </si>
  <si>
    <t>加太市場</t>
    <rPh sb="0" eb="2">
      <t>カブト</t>
    </rPh>
    <rPh sb="2" eb="4">
      <t>イチバ</t>
    </rPh>
    <phoneticPr fontId="2"/>
  </si>
  <si>
    <t>『関町史』上巻
『亀山市史』史料編 古代中世
『亀山市史』通史 原始古代中世</t>
    <rPh sb="1" eb="2">
      <t>セキ</t>
    </rPh>
    <rPh sb="2" eb="3">
      <t>マチ</t>
    </rPh>
    <rPh sb="3" eb="4">
      <t>シ</t>
    </rPh>
    <rPh sb="5" eb="7">
      <t>ジョウカン</t>
    </rPh>
    <phoneticPr fontId="2"/>
  </si>
  <si>
    <t>応永4</t>
    <rPh sb="0" eb="2">
      <t>オウエイ</t>
    </rPh>
    <phoneticPr fontId="2"/>
  </si>
  <si>
    <t>金閣が建てられる</t>
  </si>
  <si>
    <t>応永11</t>
  </si>
  <si>
    <t>明と貿易が始まる（勘合貿易）</t>
    <rPh sb="9" eb="11">
      <t>カンゴウ</t>
    </rPh>
    <rPh sb="11" eb="13">
      <t>ボウエキ</t>
    </rPh>
    <phoneticPr fontId="2"/>
  </si>
  <si>
    <t>農村の自治がさかんになる</t>
  </si>
  <si>
    <t>応永25</t>
    <rPh sb="0" eb="2">
      <t>オウエイ</t>
    </rPh>
    <phoneticPr fontId="2"/>
  </si>
  <si>
    <t>東光寺薬師如来像が修理される</t>
    <rPh sb="0" eb="1">
      <t>ヒガシ</t>
    </rPh>
    <rPh sb="1" eb="2">
      <t>ヒカリ</t>
    </rPh>
    <rPh sb="2" eb="3">
      <t>テラ</t>
    </rPh>
    <rPh sb="3" eb="5">
      <t>ヤクシ</t>
    </rPh>
    <rPh sb="5" eb="7">
      <t>ニョライ</t>
    </rPh>
    <rPh sb="7" eb="8">
      <t>ゾウ</t>
    </rPh>
    <rPh sb="9" eb="11">
      <t>シュウリ</t>
    </rPh>
    <phoneticPr fontId="2"/>
  </si>
  <si>
    <t>野登</t>
    <rPh sb="0" eb="1">
      <t>ノ</t>
    </rPh>
    <phoneticPr fontId="2"/>
  </si>
  <si>
    <t>大須正幸</t>
    <rPh sb="0" eb="2">
      <t>オオス</t>
    </rPh>
    <rPh sb="2" eb="4">
      <t>マサユキ</t>
    </rPh>
    <phoneticPr fontId="2"/>
  </si>
  <si>
    <t>『亀山市の仏像』
『亀山市史』美術工芸編
『亀山市史』史料編 古代中世</t>
    <rPh sb="10" eb="13">
      <t>カメヤマシ</t>
    </rPh>
    <rPh sb="13" eb="14">
      <t>シ</t>
    </rPh>
    <rPh sb="15" eb="17">
      <t>ビジュツ</t>
    </rPh>
    <rPh sb="17" eb="19">
      <t>コウゲイ</t>
    </rPh>
    <rPh sb="19" eb="20">
      <t>ヘン</t>
    </rPh>
    <phoneticPr fontId="2"/>
  </si>
  <si>
    <t>足利義持、伊勢参宮に際し鈴鹿山、坂下を、往復する</t>
    <rPh sb="14" eb="15">
      <t>ヤマ</t>
    </rPh>
    <phoneticPr fontId="2"/>
  </si>
  <si>
    <t>古典に出てくる亀山／旅／室町時代の旅人</t>
    <rPh sb="0" eb="2">
      <t>コテン</t>
    </rPh>
    <rPh sb="3" eb="4">
      <t>デ</t>
    </rPh>
    <rPh sb="7" eb="11">
      <t>カメヤマ・タビ</t>
    </rPh>
    <rPh sb="12" eb="16">
      <t>ムロマチジダイ</t>
    </rPh>
    <rPh sb="17" eb="19">
      <t>タビビト</t>
    </rPh>
    <phoneticPr fontId="2"/>
  </si>
  <si>
    <t>http://kameyamarekihaku.jp/kodomo/w_e_b/koten/tabi/page003.html</t>
  </si>
  <si>
    <t>応永29</t>
  </si>
  <si>
    <t>羽若西光寺の阿弥陀如来坐像が造られる</t>
  </si>
  <si>
    <t>羽若町</t>
    <rPh sb="0" eb="3">
      <t>ハワカチョウ</t>
    </rPh>
    <phoneticPr fontId="2"/>
  </si>
  <si>
    <t>西光寺</t>
  </si>
  <si>
    <t>西光寺阿弥陀如来坐像</t>
    <rPh sb="0" eb="1">
      <t>ニシ</t>
    </rPh>
    <rPh sb="1" eb="2">
      <t>ヒカリ</t>
    </rPh>
    <rPh sb="2" eb="3">
      <t>テラ</t>
    </rPh>
    <rPh sb="3" eb="6">
      <t>アミダ</t>
    </rPh>
    <rPh sb="6" eb="8">
      <t>ニョライ</t>
    </rPh>
    <rPh sb="8" eb="9">
      <t>ザ</t>
    </rPh>
    <rPh sb="9" eb="10">
      <t>ゾウ</t>
    </rPh>
    <phoneticPr fontId="2"/>
  </si>
  <si>
    <t>●</t>
    <phoneticPr fontId="2"/>
  </si>
  <si>
    <t>足利義持夫人、伊勢参宮の途中、関持盛らに新所で接待を受ける</t>
    <rPh sb="0" eb="2">
      <t>アシカガ</t>
    </rPh>
    <rPh sb="2" eb="4">
      <t>ヨシモチ</t>
    </rPh>
    <rPh sb="4" eb="6">
      <t>フジン</t>
    </rPh>
    <rPh sb="7" eb="9">
      <t>イセ</t>
    </rPh>
    <rPh sb="9" eb="11">
      <t>サングウ</t>
    </rPh>
    <rPh sb="12" eb="14">
      <t>トチュウ</t>
    </rPh>
    <rPh sb="15" eb="16">
      <t>セキ</t>
    </rPh>
    <rPh sb="16" eb="17">
      <t>モ</t>
    </rPh>
    <rPh sb="17" eb="18">
      <t>モ</t>
    </rPh>
    <rPh sb="20" eb="21">
      <t>シン</t>
    </rPh>
    <rPh sb="21" eb="22">
      <t>ショ</t>
    </rPh>
    <rPh sb="23" eb="25">
      <t>セッタイ</t>
    </rPh>
    <rPh sb="26" eb="27">
      <t>ウ</t>
    </rPh>
    <phoneticPr fontId="2"/>
  </si>
  <si>
    <t>新所</t>
    <rPh sb="0" eb="2">
      <t>シンジョ</t>
    </rPh>
    <phoneticPr fontId="2"/>
  </si>
  <si>
    <t>日本の歴史の中の亀山／中世の亀山／東アジアとのかかわり／戦国時代の亀山／応仁の乱と関氏</t>
    <rPh sb="36" eb="38">
      <t>オウニン</t>
    </rPh>
    <rPh sb="39" eb="40">
      <t>ラン</t>
    </rPh>
    <rPh sb="41" eb="43">
      <t>セキシ</t>
    </rPh>
    <phoneticPr fontId="2"/>
  </si>
  <si>
    <t>http://kameyamarekihaku.jp/kodomo/w_e_b/rekishi/chusei/kakawari/sengoku/page001.html</t>
  </si>
  <si>
    <t>『亀山市史』史料編 古代中世</t>
    <phoneticPr fontId="2"/>
  </si>
  <si>
    <t>応永30</t>
  </si>
  <si>
    <t>足利義持、伊勢参宮に際し、坂下で休息する</t>
    <rPh sb="16" eb="18">
      <t>キュウソク</t>
    </rPh>
    <phoneticPr fontId="2"/>
  </si>
  <si>
    <t>坂下</t>
    <rPh sb="0" eb="2">
      <t>サカシタ</t>
    </rPh>
    <phoneticPr fontId="2"/>
  </si>
  <si>
    <t>応永31</t>
  </si>
  <si>
    <t>足利義持、伊勢参宮に際し鈴鹿山、坂下を往復する</t>
    <rPh sb="14" eb="15">
      <t>ヤマ</t>
    </rPh>
    <phoneticPr fontId="2"/>
  </si>
  <si>
    <t>鈴鹿峠</t>
    <rPh sb="0" eb="3">
      <t>スズカトウゲ</t>
    </rPh>
    <phoneticPr fontId="2"/>
  </si>
  <si>
    <t>古典に出てくる亀山／旅／室町時代の旅人</t>
    <phoneticPr fontId="2"/>
  </si>
  <si>
    <t>『亀山市史』史料編 古代中世
『亀山市史』通史 原始古代中世</t>
    <phoneticPr fontId="2"/>
  </si>
  <si>
    <t>正長2</t>
    <rPh sb="0" eb="2">
      <t>ショウチョウ</t>
    </rPh>
    <phoneticPr fontId="2"/>
  </si>
  <si>
    <t>関持盛、幕府と戦う</t>
    <rPh sb="1" eb="2">
      <t>モ</t>
    </rPh>
    <rPh sb="2" eb="3">
      <t>モ</t>
    </rPh>
    <phoneticPr fontId="2"/>
  </si>
  <si>
    <t>山下町</t>
    <rPh sb="0" eb="2">
      <t>ヤマシタ</t>
    </rPh>
    <rPh sb="2" eb="3">
      <t>マチ</t>
    </rPh>
    <phoneticPr fontId="2"/>
  </si>
  <si>
    <t>山下城跡（沢遺跡）</t>
    <phoneticPr fontId="2"/>
  </si>
  <si>
    <t>関盛雅</t>
  </si>
  <si>
    <t>沢遺跡出土品</t>
  </si>
  <si>
    <t>山下城跡</t>
    <phoneticPr fontId="2"/>
  </si>
  <si>
    <t>古典に出てくる亀山／物語／戦いの話</t>
    <rPh sb="10" eb="12">
      <t>モノガタリ</t>
    </rPh>
    <rPh sb="13" eb="14">
      <t>タタカ</t>
    </rPh>
    <rPh sb="16" eb="17">
      <t>ハナシ</t>
    </rPh>
    <phoneticPr fontId="2"/>
  </si>
  <si>
    <t>『亀山市史』史料編 古代中世
『沢遺跡Ⅱ』
『亀山市史』考古分野</t>
    <rPh sb="16" eb="17">
      <t>サワ</t>
    </rPh>
    <rPh sb="17" eb="19">
      <t>イセキ</t>
    </rPh>
    <rPh sb="22" eb="32">
      <t>カ</t>
    </rPh>
    <phoneticPr fontId="2"/>
  </si>
  <si>
    <t>日本の歴史の中の亀山／中世の亀山／東アジアとのかかわり／南北朝の動乱と亀山／関盛雅の戦い</t>
    <rPh sb="38" eb="39">
      <t>セキ</t>
    </rPh>
    <rPh sb="39" eb="41">
      <t>モリマサ</t>
    </rPh>
    <rPh sb="42" eb="43">
      <t>タタカ</t>
    </rPh>
    <phoneticPr fontId="2"/>
  </si>
  <si>
    <t>http://kameyamarekihaku.jp/kodomo/w_e_b/rekishi/chusei/kakawari/nanbokucho/page002.html</t>
  </si>
  <si>
    <t>日本の歴史の中の亀山／中世の亀山／東アジアとのかかわり／戦国時代の亀山／中世の城跡</t>
    <rPh sb="36" eb="38">
      <t>チュウセイ</t>
    </rPh>
    <rPh sb="39" eb="40">
      <t>シロ</t>
    </rPh>
    <rPh sb="40" eb="41">
      <t>アト</t>
    </rPh>
    <phoneticPr fontId="2"/>
  </si>
  <si>
    <t>永享5</t>
    <rPh sb="0" eb="2">
      <t>エイキョウ</t>
    </rPh>
    <phoneticPr fontId="2"/>
  </si>
  <si>
    <t>大地震で鈴鹿山中の大石が抜ける</t>
    <rPh sb="0" eb="3">
      <t>ダイジシン</t>
    </rPh>
    <rPh sb="4" eb="6">
      <t>スズカ</t>
    </rPh>
    <rPh sb="6" eb="7">
      <t>サン</t>
    </rPh>
    <rPh sb="7" eb="8">
      <t>チュウ</t>
    </rPh>
    <rPh sb="9" eb="11">
      <t>オオイシ</t>
    </rPh>
    <rPh sb="12" eb="13">
      <t>ヌ</t>
    </rPh>
    <phoneticPr fontId="2"/>
  </si>
  <si>
    <t>亀山のむかしばなし／こわいはなし／大地震の話／亀山の大地震</t>
    <rPh sb="0" eb="2">
      <t>カメヤマ</t>
    </rPh>
    <rPh sb="23" eb="25">
      <t>カメヤマ</t>
    </rPh>
    <rPh sb="26" eb="29">
      <t>ダイジシン</t>
    </rPh>
    <phoneticPr fontId="2"/>
  </si>
  <si>
    <t>http://kameyamarekihaku.jp/kodomo/w_e_b/hanashi/mukashi/zishin/page001.html</t>
  </si>
  <si>
    <t>●</t>
    <phoneticPr fontId="2"/>
  </si>
  <si>
    <t>足利義教、伊勢参宮に際し鈴鹿山、坂下を往復する</t>
    <rPh sb="14" eb="15">
      <t>ヤマ</t>
    </rPh>
    <phoneticPr fontId="2"/>
  </si>
  <si>
    <t>古典に出てくる亀山／旅／室町時代の旅人</t>
  </si>
  <si>
    <t>文安元</t>
    <rPh sb="0" eb="2">
      <t>ブンアン</t>
    </rPh>
    <rPh sb="2" eb="3">
      <t>ガン</t>
    </rPh>
    <phoneticPr fontId="2"/>
  </si>
  <si>
    <t>室町幕府、石上寺に被害を与えることを禁止する</t>
    <rPh sb="0" eb="2">
      <t>ムロマチ</t>
    </rPh>
    <rPh sb="2" eb="4">
      <t>バクフ</t>
    </rPh>
    <phoneticPr fontId="2"/>
  </si>
  <si>
    <t>日本の歴史の中の亀山／中世の亀山／武士の台頭と亀山／仏教の広がり／石上寺文書</t>
    <phoneticPr fontId="2"/>
  </si>
  <si>
    <t>『石上寺文書の世界』
『亀山市史』史料編 古代中世
『歴史ひろば』</t>
    <phoneticPr fontId="2"/>
  </si>
  <si>
    <t>文安5</t>
    <rPh sb="0" eb="2">
      <t>ブンアン</t>
    </rPh>
    <phoneticPr fontId="2"/>
  </si>
  <si>
    <t>関氏と長野氏が昼生で合戦をする</t>
    <rPh sb="0" eb="2">
      <t>セキシ</t>
    </rPh>
    <rPh sb="3" eb="6">
      <t>ナガノシ</t>
    </rPh>
    <rPh sb="7" eb="9">
      <t>ヒルオ</t>
    </rPh>
    <rPh sb="10" eb="12">
      <t>カッセン</t>
    </rPh>
    <phoneticPr fontId="2"/>
  </si>
  <si>
    <t>昼生</t>
    <phoneticPr fontId="2"/>
  </si>
  <si>
    <t>日本の歴史の中の亀山／中世の亀山／東アジアとのかかわり／戦国時代の亀山／応仁の乱と関氏</t>
    <phoneticPr fontId="2"/>
  </si>
  <si>
    <t>『亀山市史』史料編 古代中世　</t>
    <phoneticPr fontId="2"/>
  </si>
  <si>
    <t>各地に大名が生まれる</t>
  </si>
  <si>
    <t>寛正6</t>
    <rPh sb="0" eb="2">
      <t>カンショウ</t>
    </rPh>
    <phoneticPr fontId="2"/>
  </si>
  <si>
    <t>●</t>
    <phoneticPr fontId="2"/>
  </si>
  <si>
    <t>室町将軍家に関盛元が太刀、関持盛が新茶を進上する</t>
    <rPh sb="0" eb="2">
      <t>ムロマチ</t>
    </rPh>
    <rPh sb="2" eb="4">
      <t>ショウグン</t>
    </rPh>
    <rPh sb="4" eb="5">
      <t>イエ</t>
    </rPh>
    <rPh sb="6" eb="7">
      <t>セキ</t>
    </rPh>
    <rPh sb="7" eb="8">
      <t>モ</t>
    </rPh>
    <rPh sb="8" eb="9">
      <t>モト</t>
    </rPh>
    <rPh sb="10" eb="12">
      <t>タチ</t>
    </rPh>
    <rPh sb="13" eb="14">
      <t>セキ</t>
    </rPh>
    <rPh sb="14" eb="15">
      <t>モ</t>
    </rPh>
    <rPh sb="15" eb="16">
      <t>モ</t>
    </rPh>
    <rPh sb="17" eb="19">
      <t>シンチャ</t>
    </rPh>
    <rPh sb="20" eb="22">
      <t>シンジョウ</t>
    </rPh>
    <phoneticPr fontId="2"/>
  </si>
  <si>
    <t>室町時代／戦国時代</t>
  </si>
  <si>
    <t>応仁元</t>
  </si>
  <si>
    <t>応仁の乱がおこる</t>
  </si>
  <si>
    <t>関氏、京都で応仁の乱を戦う</t>
  </si>
  <si>
    <t>日本の歴史の中の亀山／中世の亀山／東アジアとのかかわり／戦国時代の亀山／応仁の乱と関氏</t>
    <rPh sb="28" eb="30">
      <t>センゴク</t>
    </rPh>
    <rPh sb="30" eb="32">
      <t>ジダイ</t>
    </rPh>
    <rPh sb="33" eb="35">
      <t>カメヤマ</t>
    </rPh>
    <phoneticPr fontId="2"/>
  </si>
  <si>
    <t>文明4</t>
    <rPh sb="0" eb="2">
      <t>ブンメイ</t>
    </rPh>
    <phoneticPr fontId="2"/>
  </si>
  <si>
    <t>新福寺（野村町）兵火により焼失</t>
    <rPh sb="0" eb="1">
      <t>シン</t>
    </rPh>
    <rPh sb="1" eb="2">
      <t>フク</t>
    </rPh>
    <rPh sb="2" eb="3">
      <t>テラ</t>
    </rPh>
    <rPh sb="4" eb="7">
      <t>ノムラチョウ</t>
    </rPh>
    <rPh sb="8" eb="10">
      <t>ヘイカ</t>
    </rPh>
    <rPh sb="13" eb="15">
      <t>ショウシツ</t>
    </rPh>
    <phoneticPr fontId="2"/>
  </si>
  <si>
    <t>新福寺跡採取瓦片</t>
    <rPh sb="0" eb="1">
      <t>シン</t>
    </rPh>
    <rPh sb="1" eb="2">
      <t>フク</t>
    </rPh>
    <rPh sb="2" eb="3">
      <t>テラ</t>
    </rPh>
    <rPh sb="3" eb="4">
      <t>アト</t>
    </rPh>
    <rPh sb="4" eb="6">
      <t>サイシュ</t>
    </rPh>
    <rPh sb="6" eb="7">
      <t>カワラ</t>
    </rPh>
    <rPh sb="7" eb="8">
      <t>ヘン</t>
    </rPh>
    <phoneticPr fontId="2"/>
  </si>
  <si>
    <t>文明14</t>
    <rPh sb="0" eb="2">
      <t>ブンメイ</t>
    </rPh>
    <phoneticPr fontId="2"/>
  </si>
  <si>
    <t>はじめて「亀山」の地名が使われる</t>
  </si>
  <si>
    <t>亀山城跡下層遺構出土資料</t>
    <rPh sb="0" eb="2">
      <t>カメヤマ</t>
    </rPh>
    <rPh sb="2" eb="4">
      <t>シロアト</t>
    </rPh>
    <rPh sb="4" eb="6">
      <t>カソウ</t>
    </rPh>
    <rPh sb="6" eb="8">
      <t>イコウ</t>
    </rPh>
    <rPh sb="8" eb="10">
      <t>シュツド</t>
    </rPh>
    <rPh sb="10" eb="12">
      <t>シリョウ</t>
    </rPh>
    <phoneticPr fontId="2"/>
  </si>
  <si>
    <t>『伊勢亀山城跡発掘調査報告書Ⅲ』
『亀山市史』考古分野
『亀山市史』史料編 古代中世</t>
    <rPh sb="1" eb="3">
      <t>イセ</t>
    </rPh>
    <rPh sb="3" eb="5">
      <t>カメヤマ</t>
    </rPh>
    <rPh sb="5" eb="6">
      <t>シロ</t>
    </rPh>
    <rPh sb="6" eb="7">
      <t>アト</t>
    </rPh>
    <rPh sb="7" eb="9">
      <t>ハックツ</t>
    </rPh>
    <rPh sb="9" eb="11">
      <t>チョウサ</t>
    </rPh>
    <rPh sb="11" eb="14">
      <t>ホウコクショ</t>
    </rPh>
    <rPh sb="18" eb="21">
      <t>カメヤマシ</t>
    </rPh>
    <rPh sb="21" eb="22">
      <t>シ</t>
    </rPh>
    <rPh sb="23" eb="25">
      <t>コウコ</t>
    </rPh>
    <rPh sb="25" eb="27">
      <t>ブンヤ</t>
    </rPh>
    <phoneticPr fontId="2"/>
  </si>
  <si>
    <t>能・狂言や生け花・茶の湯がさかんになる</t>
  </si>
  <si>
    <t>日本の歴史の中の亀山／中世の亀山／東アジアとのかかわり／室町時代の文化と亀山</t>
    <rPh sb="28" eb="30">
      <t>ムロマチ</t>
    </rPh>
    <rPh sb="30" eb="32">
      <t>ジダイ</t>
    </rPh>
    <rPh sb="33" eb="35">
      <t>ブンカ</t>
    </rPh>
    <rPh sb="36" eb="38">
      <t>カメヤマ</t>
    </rPh>
    <phoneticPr fontId="2"/>
  </si>
  <si>
    <t>http://kameyamarekihaku.jp/kodomo/w_e_b/rekishi/chusei/kakawari/muromachi/index.html</t>
  </si>
  <si>
    <t>『亀山市史』考古分野・コラム黄金の茶碗
『亀山市史』考古分野</t>
    <rPh sb="21" eb="24">
      <t>カメヤマシ</t>
    </rPh>
    <rPh sb="24" eb="25">
      <t>シ</t>
    </rPh>
    <rPh sb="26" eb="28">
      <t>コウコ</t>
    </rPh>
    <rPh sb="28" eb="30">
      <t>ブンヤ</t>
    </rPh>
    <phoneticPr fontId="2"/>
  </si>
  <si>
    <t>天目茶碗（亀山城跡下層）</t>
    <phoneticPr fontId="2"/>
  </si>
  <si>
    <t>長享3</t>
    <rPh sb="0" eb="1">
      <t>チョウ</t>
    </rPh>
    <rPh sb="1" eb="2">
      <t>リョウ</t>
    </rPh>
    <phoneticPr fontId="2"/>
  </si>
  <si>
    <t>銀閣が建てられる</t>
  </si>
  <si>
    <t>明応4</t>
    <rPh sb="0" eb="2">
      <t>メイオウ</t>
    </rPh>
    <phoneticPr fontId="2"/>
  </si>
  <si>
    <t>飛鳥井雅康、関盛貞のために『愚見抄』を写す</t>
    <rPh sb="0" eb="2">
      <t>アスカ</t>
    </rPh>
    <rPh sb="2" eb="3">
      <t>イ</t>
    </rPh>
    <rPh sb="3" eb="4">
      <t>ミヤビ</t>
    </rPh>
    <rPh sb="6" eb="7">
      <t>セキ</t>
    </rPh>
    <rPh sb="7" eb="9">
      <t>セイテイ</t>
    </rPh>
    <rPh sb="14" eb="15">
      <t>グ</t>
    </rPh>
    <rPh sb="15" eb="16">
      <t>ケン</t>
    </rPh>
    <rPh sb="16" eb="17">
      <t>ショウ</t>
    </rPh>
    <rPh sb="19" eb="20">
      <t>ウツ</t>
    </rPh>
    <phoneticPr fontId="2"/>
  </si>
  <si>
    <t>飛鳥井雅康　　　　　関盛貞</t>
    <rPh sb="0" eb="2">
      <t>アスカ</t>
    </rPh>
    <rPh sb="2" eb="3">
      <t>イ</t>
    </rPh>
    <rPh sb="3" eb="4">
      <t>マサ</t>
    </rPh>
    <rPh sb="4" eb="5">
      <t>ヤス</t>
    </rPh>
    <rPh sb="10" eb="11">
      <t>セキ</t>
    </rPh>
    <rPh sb="11" eb="12">
      <t>モ</t>
    </rPh>
    <rPh sb="12" eb="13">
      <t>サダ</t>
    </rPh>
    <phoneticPr fontId="2"/>
  </si>
  <si>
    <t>古典に出てくる亀山／旅／室町時代の旅人</t>
    <rPh sb="0" eb="2">
      <t>コテン</t>
    </rPh>
    <rPh sb="3" eb="4">
      <t>デ</t>
    </rPh>
    <rPh sb="7" eb="11">
      <t>カメヤマ・タビ</t>
    </rPh>
    <rPh sb="12" eb="14">
      <t>ムロマチ</t>
    </rPh>
    <rPh sb="14" eb="16">
      <t>ジダイ</t>
    </rPh>
    <rPh sb="17" eb="19">
      <t>タビビト</t>
    </rPh>
    <phoneticPr fontId="2"/>
  </si>
  <si>
    <t>明応7</t>
    <rPh sb="0" eb="2">
      <t>メイオウ</t>
    </rPh>
    <phoneticPr fontId="2"/>
  </si>
  <si>
    <t>大地震がおこる
津波が伊勢湾沿岸を襲う（明応地震）</t>
    <rPh sb="0" eb="3">
      <t>ダイジシン</t>
    </rPh>
    <rPh sb="8" eb="10">
      <t>ツナミ</t>
    </rPh>
    <rPh sb="11" eb="14">
      <t>イセワン</t>
    </rPh>
    <rPh sb="14" eb="16">
      <t>エンガン</t>
    </rPh>
    <rPh sb="17" eb="18">
      <t>オソ</t>
    </rPh>
    <rPh sb="20" eb="22">
      <t>メイオウ</t>
    </rPh>
    <rPh sb="22" eb="24">
      <t>ジシン</t>
    </rPh>
    <phoneticPr fontId="2"/>
  </si>
  <si>
    <t>亀山のむかしばなし／こわいはなし／大地震の話／亀山の大地震</t>
  </si>
  <si>
    <t>『亀山市史』史料編 古代中世</t>
    <phoneticPr fontId="2"/>
  </si>
  <si>
    <t>明応8</t>
    <rPh sb="0" eb="2">
      <t>メイオウ</t>
    </rPh>
    <phoneticPr fontId="2"/>
  </si>
  <si>
    <t>●</t>
    <phoneticPr fontId="2"/>
  </si>
  <si>
    <t>飛鳥井雅康、富士山を見る途中、関盛貞の在所に逗留する</t>
    <rPh sb="0" eb="2">
      <t>アスカ</t>
    </rPh>
    <rPh sb="2" eb="3">
      <t>イ</t>
    </rPh>
    <rPh sb="3" eb="4">
      <t>ミヤビ</t>
    </rPh>
    <rPh sb="6" eb="9">
      <t>フジサン</t>
    </rPh>
    <rPh sb="10" eb="11">
      <t>ミ</t>
    </rPh>
    <rPh sb="12" eb="14">
      <t>トチュウ</t>
    </rPh>
    <rPh sb="15" eb="16">
      <t>セキ</t>
    </rPh>
    <rPh sb="16" eb="18">
      <t>セイテイ</t>
    </rPh>
    <rPh sb="19" eb="21">
      <t>ザイショ</t>
    </rPh>
    <rPh sb="22" eb="24">
      <t>トウリュウ</t>
    </rPh>
    <phoneticPr fontId="2"/>
  </si>
  <si>
    <t>大名の力が大きくなリ,各地で勢カ争いが続く</t>
  </si>
  <si>
    <t>永正2</t>
    <rPh sb="0" eb="2">
      <t>エイショウ</t>
    </rPh>
    <phoneticPr fontId="2"/>
  </si>
  <si>
    <t>正法寺山荘が創建される</t>
    <rPh sb="6" eb="8">
      <t>ソウケン</t>
    </rPh>
    <phoneticPr fontId="2"/>
  </si>
  <si>
    <t>関盛貞</t>
  </si>
  <si>
    <t>日本の歴史の中の亀山／中世の亀山／東アジアとのかかわり／室町時代の文化と亀山／正法寺山荘と人々の交流</t>
    <rPh sb="28" eb="32">
      <t>ムロマチジダイ</t>
    </rPh>
    <rPh sb="33" eb="35">
      <t>ブンカ</t>
    </rPh>
    <rPh sb="36" eb="38">
      <t>カメヤマ</t>
    </rPh>
    <rPh sb="39" eb="44">
      <t>ショウホウジサンソウ</t>
    </rPh>
    <rPh sb="45" eb="47">
      <t>ヒトビト</t>
    </rPh>
    <rPh sb="48" eb="50">
      <t>コウリュウ</t>
    </rPh>
    <phoneticPr fontId="2"/>
  </si>
  <si>
    <t>http://kameyamarekihaku.jp/kodomo/w_e_b/rekishi/chusei/kakawari/muromachi/page001.html</t>
  </si>
  <si>
    <t>『亀山市史』史料編 古代中世
『亀山市史』考古分野
『関氏正法寺山荘跡発掘調査報告1～9』
『亀山市史』通史 原始古代中世</t>
    <rPh sb="16" eb="18">
      <t>カメヤマ</t>
    </rPh>
    <rPh sb="18" eb="19">
      <t>シ</t>
    </rPh>
    <rPh sb="19" eb="20">
      <t>シ</t>
    </rPh>
    <rPh sb="21" eb="23">
      <t>コウコ</t>
    </rPh>
    <rPh sb="23" eb="25">
      <t>ブンヤ</t>
    </rPh>
    <rPh sb="27" eb="29">
      <t>セキシ</t>
    </rPh>
    <rPh sb="29" eb="30">
      <t>タダ</t>
    </rPh>
    <rPh sb="30" eb="31">
      <t>ホウ</t>
    </rPh>
    <rPh sb="31" eb="32">
      <t>テラ</t>
    </rPh>
    <rPh sb="32" eb="34">
      <t>サンソウ</t>
    </rPh>
    <rPh sb="34" eb="35">
      <t>アト</t>
    </rPh>
    <rPh sb="35" eb="37">
      <t>ハックツ</t>
    </rPh>
    <rPh sb="37" eb="39">
      <t>チョウサ</t>
    </rPh>
    <rPh sb="39" eb="41">
      <t>ホウコク</t>
    </rPh>
    <rPh sb="46" eb="61">
      <t>ツ</t>
    </rPh>
    <phoneticPr fontId="2"/>
  </si>
  <si>
    <t>永正3</t>
    <rPh sb="0" eb="2">
      <t>エイショウ</t>
    </rPh>
    <phoneticPr fontId="2"/>
  </si>
  <si>
    <t>北条早雲、関氏と同族であると称する</t>
    <rPh sb="0" eb="2">
      <t>ホウジョウ</t>
    </rPh>
    <rPh sb="2" eb="4">
      <t>ソウウン</t>
    </rPh>
    <rPh sb="5" eb="7">
      <t>セキシ</t>
    </rPh>
    <rPh sb="8" eb="10">
      <t>ドウゾク</t>
    </rPh>
    <rPh sb="14" eb="15">
      <t>ショウ</t>
    </rPh>
    <phoneticPr fontId="2"/>
  </si>
  <si>
    <t>北条早雲</t>
    <rPh sb="0" eb="2">
      <t>ホウジョウ</t>
    </rPh>
    <rPh sb="2" eb="4">
      <t>ソウウン</t>
    </rPh>
    <phoneticPr fontId="2"/>
  </si>
  <si>
    <t>永正10</t>
    <rPh sb="0" eb="2">
      <t>エイショウ</t>
    </rPh>
    <phoneticPr fontId="2"/>
  </si>
  <si>
    <t>冷泉為広、駿河へ向かう途中、坂下を経て亀山に泊まる</t>
    <rPh sb="0" eb="2">
      <t>レイゼイ</t>
    </rPh>
    <rPh sb="2" eb="3">
      <t>タメ</t>
    </rPh>
    <rPh sb="3" eb="4">
      <t>ヒロシ</t>
    </rPh>
    <rPh sb="5" eb="7">
      <t>スルガ</t>
    </rPh>
    <rPh sb="8" eb="9">
      <t>ム</t>
    </rPh>
    <rPh sb="11" eb="13">
      <t>トチュウ</t>
    </rPh>
    <rPh sb="14" eb="16">
      <t>サカシタ</t>
    </rPh>
    <rPh sb="17" eb="18">
      <t>ヘ</t>
    </rPh>
    <rPh sb="19" eb="21">
      <t>カメヤマ</t>
    </rPh>
    <rPh sb="22" eb="23">
      <t>ト</t>
    </rPh>
    <phoneticPr fontId="2"/>
  </si>
  <si>
    <t>冷泉為広</t>
    <rPh sb="0" eb="2">
      <t>レイゼイ</t>
    </rPh>
    <rPh sb="2" eb="3">
      <t>タメ</t>
    </rPh>
    <rPh sb="3" eb="4">
      <t>ヒロ</t>
    </rPh>
    <phoneticPr fontId="2"/>
  </si>
  <si>
    <t>『為広駿州下向記』
『亀山市史』史料編 古代中世</t>
    <phoneticPr fontId="2"/>
  </si>
  <si>
    <t>大永2</t>
    <rPh sb="0" eb="2">
      <t>ダイエイ</t>
    </rPh>
    <phoneticPr fontId="2"/>
  </si>
  <si>
    <t>連歌師宗長、亀山を訪れる</t>
    <rPh sb="0" eb="2">
      <t>レンガ</t>
    </rPh>
    <rPh sb="2" eb="3">
      <t>シ</t>
    </rPh>
    <rPh sb="3" eb="5">
      <t>ムネナガ</t>
    </rPh>
    <rPh sb="6" eb="8">
      <t>カメヤマ</t>
    </rPh>
    <rPh sb="9" eb="10">
      <t>オトズ</t>
    </rPh>
    <phoneticPr fontId="2"/>
  </si>
  <si>
    <t>宗長</t>
    <rPh sb="0" eb="1">
      <t>シュウ</t>
    </rPh>
    <rPh sb="1" eb="2">
      <t>チョウ</t>
    </rPh>
    <phoneticPr fontId="2"/>
  </si>
  <si>
    <t>亀山城と宿場／亀山城下町／亀山城の前にあったまち</t>
    <rPh sb="0" eb="3">
      <t>カメヤマジョウ</t>
    </rPh>
    <rPh sb="4" eb="7">
      <t>シュクバ・</t>
    </rPh>
    <rPh sb="7" eb="9">
      <t>カメヤマ</t>
    </rPh>
    <rPh sb="9" eb="11">
      <t>ジョウカ</t>
    </rPh>
    <rPh sb="11" eb="12">
      <t>マチ</t>
    </rPh>
    <rPh sb="13" eb="16">
      <t>カメヤマジョウ</t>
    </rPh>
    <rPh sb="17" eb="18">
      <t>マエ</t>
    </rPh>
    <phoneticPr fontId="2"/>
  </si>
  <si>
    <t>http://kameyamarekihaku.jp/kodomo/w_e_b/syukuba/joukamachi/page001.html</t>
  </si>
  <si>
    <t>『宗長手記』
『亀山市史』史料編 古代中世</t>
    <rPh sb="1" eb="2">
      <t>シュウ</t>
    </rPh>
    <rPh sb="2" eb="3">
      <t>チョウ</t>
    </rPh>
    <rPh sb="3" eb="5">
      <t>シュキ</t>
    </rPh>
    <phoneticPr fontId="2"/>
  </si>
  <si>
    <t>大永4</t>
    <rPh sb="0" eb="2">
      <t>ダイエイ</t>
    </rPh>
    <phoneticPr fontId="2"/>
  </si>
  <si>
    <t>連歌師宗長、関盛貞に招かれ連歌会を催し、正法寺山荘、亀山の様子を日記に記す</t>
    <rPh sb="6" eb="7">
      <t>セキ</t>
    </rPh>
    <rPh sb="7" eb="8">
      <t>モ</t>
    </rPh>
    <rPh sb="8" eb="9">
      <t>テイ</t>
    </rPh>
    <rPh sb="10" eb="11">
      <t>マネ</t>
    </rPh>
    <rPh sb="13" eb="15">
      <t>レンガ</t>
    </rPh>
    <rPh sb="15" eb="16">
      <t>カイ</t>
    </rPh>
    <rPh sb="17" eb="18">
      <t>モヨオ</t>
    </rPh>
    <rPh sb="20" eb="23">
      <t>ショウボウジ</t>
    </rPh>
    <rPh sb="23" eb="25">
      <t>サンソウ</t>
    </rPh>
    <rPh sb="26" eb="28">
      <t>カメヤマ</t>
    </rPh>
    <rPh sb="29" eb="31">
      <t>ヨウス</t>
    </rPh>
    <rPh sb="32" eb="34">
      <t>ニッキ</t>
    </rPh>
    <rPh sb="35" eb="36">
      <t>シル</t>
    </rPh>
    <phoneticPr fontId="2"/>
  </si>
  <si>
    <t>関盛貞　宗長</t>
    <rPh sb="4" eb="6">
      <t>ソウチョウ</t>
    </rPh>
    <phoneticPr fontId="2"/>
  </si>
  <si>
    <t>亀山城と宿場／亀山城下町／亀山城の前にあったまち</t>
    <phoneticPr fontId="2"/>
  </si>
  <si>
    <t>大永7</t>
    <rPh sb="0" eb="2">
      <t>ダイエイ</t>
    </rPh>
    <phoneticPr fontId="2"/>
  </si>
  <si>
    <t>連歌師宗長、関盛貞に招かれ連歌会を催す</t>
    <phoneticPr fontId="2"/>
  </si>
  <si>
    <t>『亀山市史』史料編 古代中世
『亀山市史』考古分野
『亀山市史』通史 原始古代中世</t>
    <rPh sb="15" eb="25">
      <t>カ</t>
    </rPh>
    <rPh sb="26" eb="41">
      <t>ツ</t>
    </rPh>
    <phoneticPr fontId="2"/>
  </si>
  <si>
    <t>将軍足利義晴、関盛貞に上洛を命令する</t>
    <phoneticPr fontId="2"/>
  </si>
  <si>
    <t>足利義晴　関盛貞</t>
    <rPh sb="0" eb="2">
      <t>アシカガ</t>
    </rPh>
    <rPh sb="2" eb="4">
      <t>ヨシハル</t>
    </rPh>
    <rPh sb="5" eb="6">
      <t>セキ</t>
    </rPh>
    <rPh sb="6" eb="7">
      <t>モリ</t>
    </rPh>
    <rPh sb="7" eb="8">
      <t>サダ</t>
    </rPh>
    <phoneticPr fontId="2"/>
  </si>
  <si>
    <t>天文12</t>
  </si>
  <si>
    <t>▲</t>
    <phoneticPr fontId="2"/>
  </si>
  <si>
    <t>鉄砲が伝わる</t>
  </si>
  <si>
    <t>火縄銃</t>
  </si>
  <si>
    <t>天文18</t>
  </si>
  <si>
    <t>キリスト教が伝わる</t>
  </si>
  <si>
    <t>天文22</t>
    <rPh sb="0" eb="2">
      <t>テンモン</t>
    </rPh>
    <phoneticPr fontId="2"/>
  </si>
  <si>
    <t>山科言継、亀山を経て坂下宿に泊まる</t>
    <rPh sb="0" eb="2">
      <t>ヤマシナ</t>
    </rPh>
    <rPh sb="2" eb="3">
      <t>イ</t>
    </rPh>
    <rPh sb="3" eb="4">
      <t>ツ</t>
    </rPh>
    <rPh sb="5" eb="7">
      <t>カメヤマ</t>
    </rPh>
    <rPh sb="8" eb="9">
      <t>ヘ</t>
    </rPh>
    <rPh sb="10" eb="12">
      <t>サカシタ</t>
    </rPh>
    <rPh sb="12" eb="13">
      <t>シュク</t>
    </rPh>
    <rPh sb="14" eb="15">
      <t>ト</t>
    </rPh>
    <phoneticPr fontId="2"/>
  </si>
  <si>
    <t>坂下宿</t>
    <rPh sb="0" eb="2">
      <t>サカシタ</t>
    </rPh>
    <rPh sb="2" eb="3">
      <t>ジュク</t>
    </rPh>
    <phoneticPr fontId="2"/>
  </si>
  <si>
    <t>山科言継</t>
    <rPh sb="0" eb="2">
      <t>ヤマシナ</t>
    </rPh>
    <rPh sb="2" eb="3">
      <t>イ</t>
    </rPh>
    <rPh sb="3" eb="4">
      <t>ツ</t>
    </rPh>
    <phoneticPr fontId="2"/>
  </si>
  <si>
    <t>むかしの道と交通／亀山の近世の道</t>
    <phoneticPr fontId="2"/>
  </si>
  <si>
    <t>http://kameyamarekihaku.jp/kodomo/w_e_b/michi/kinsei/index.html</t>
  </si>
  <si>
    <t>亀山城と宿場／４つの宿場</t>
    <rPh sb="0" eb="3">
      <t>カメヤマジョウ</t>
    </rPh>
    <rPh sb="4" eb="7">
      <t>シュクバ・</t>
    </rPh>
    <rPh sb="10" eb="12">
      <t>シュクバ</t>
    </rPh>
    <phoneticPr fontId="2"/>
  </si>
  <si>
    <t>http://kameyamarekihaku.jp/kodomo/w_e_b/syukuba/4syukuba/index.html</t>
  </si>
  <si>
    <t>全国統一の事業がはじまる</t>
  </si>
  <si>
    <t>日本の歴史の中の亀山／中世の亀山／東アジアとのかかわり／戦乱の亀山</t>
    <rPh sb="28" eb="30">
      <t>センラン</t>
    </rPh>
    <rPh sb="31" eb="33">
      <t>カメヤマ</t>
    </rPh>
    <phoneticPr fontId="2"/>
  </si>
  <si>
    <t>http://kameyamarekihaku.jp/kodomo/w_e_b/rekishi/chusei/kakawari/senran/index.html</t>
  </si>
  <si>
    <t>永禄10</t>
    <rPh sb="0" eb="2">
      <t>エイロク</t>
    </rPh>
    <phoneticPr fontId="2"/>
  </si>
  <si>
    <t>連歌師紹巴、富士山を見る途中、地蔵院、正法寺山荘に立ち寄り、亀山に逗留する</t>
    <rPh sb="0" eb="3">
      <t>レンガシ</t>
    </rPh>
    <rPh sb="3" eb="4">
      <t>タスク</t>
    </rPh>
    <rPh sb="4" eb="5">
      <t>トモエ</t>
    </rPh>
    <rPh sb="15" eb="17">
      <t>ジゾウ</t>
    </rPh>
    <rPh sb="17" eb="18">
      <t>イン</t>
    </rPh>
    <rPh sb="19" eb="20">
      <t>タダ</t>
    </rPh>
    <rPh sb="22" eb="24">
      <t>サンソウ</t>
    </rPh>
    <rPh sb="25" eb="26">
      <t>タ</t>
    </rPh>
    <rPh sb="27" eb="28">
      <t>ヨ</t>
    </rPh>
    <rPh sb="30" eb="32">
      <t>カメヤマ</t>
    </rPh>
    <phoneticPr fontId="2"/>
  </si>
  <si>
    <t>里村紹巴</t>
    <rPh sb="0" eb="2">
      <t>サトムラ</t>
    </rPh>
    <phoneticPr fontId="2"/>
  </si>
  <si>
    <t>亀山のいいとこさがし／建物</t>
    <phoneticPr fontId="2"/>
  </si>
  <si>
    <t>亀山のいいとこさがし／景色のよいところや歴史を知る手掛かりとなるもの／歴史上の場所／正法寺山荘跡</t>
    <phoneticPr fontId="2"/>
  </si>
  <si>
    <t>永禄11</t>
    <rPh sb="0" eb="2">
      <t>エイロク</t>
    </rPh>
    <phoneticPr fontId="2"/>
  </si>
  <si>
    <t>織田信長、伊勢に進攻、関氏、神戸氏、国府氏、鹿伏兎氏、峯氏、織田信長に従う</t>
    <rPh sb="0" eb="2">
      <t>オダ</t>
    </rPh>
    <rPh sb="2" eb="4">
      <t>ノブナガ</t>
    </rPh>
    <rPh sb="5" eb="7">
      <t>イセ</t>
    </rPh>
    <rPh sb="8" eb="10">
      <t>シンコウ</t>
    </rPh>
    <rPh sb="11" eb="13">
      <t>セキシ</t>
    </rPh>
    <rPh sb="14" eb="16">
      <t>コウベ</t>
    </rPh>
    <rPh sb="16" eb="17">
      <t>シ</t>
    </rPh>
    <rPh sb="18" eb="21">
      <t>コクフシ</t>
    </rPh>
    <rPh sb="22" eb="24">
      <t>カブセ</t>
    </rPh>
    <rPh sb="24" eb="26">
      <t>ウサギシ</t>
    </rPh>
    <rPh sb="27" eb="29">
      <t>ミネシ</t>
    </rPh>
    <rPh sb="30" eb="32">
      <t>オダ</t>
    </rPh>
    <rPh sb="32" eb="34">
      <t>ノブナガ</t>
    </rPh>
    <rPh sb="35" eb="36">
      <t>シタガ</t>
    </rPh>
    <phoneticPr fontId="2"/>
  </si>
  <si>
    <t>織田信長　関盛信</t>
    <rPh sb="0" eb="2">
      <t>オダ</t>
    </rPh>
    <rPh sb="2" eb="4">
      <t>ノブナガ</t>
    </rPh>
    <rPh sb="5" eb="6">
      <t>セキ</t>
    </rPh>
    <rPh sb="6" eb="7">
      <t>モ</t>
    </rPh>
    <rPh sb="7" eb="8">
      <t>シン</t>
    </rPh>
    <phoneticPr fontId="2"/>
  </si>
  <si>
    <t>日本の歴史の中の亀山／中世の亀山／武士の台頭と亀山／平氏と源氏／平資盛と関氏のはじまり／平資盛の子孫たち</t>
    <rPh sb="33" eb="35">
      <t>シモリ</t>
    </rPh>
    <rPh sb="36" eb="38">
      <t>セキシ</t>
    </rPh>
    <rPh sb="44" eb="47">
      <t>タイラシモリ</t>
    </rPh>
    <rPh sb="48" eb="50">
      <t>シソン</t>
    </rPh>
    <phoneticPr fontId="2"/>
  </si>
  <si>
    <t>『亀山市史』史料編 古代中世</t>
    <phoneticPr fontId="2"/>
  </si>
  <si>
    <t>永禄12</t>
    <rPh sb="0" eb="2">
      <t>エイロク</t>
    </rPh>
    <phoneticPr fontId="2"/>
  </si>
  <si>
    <t>織田信長、関氏に伊勢国内の不要の城を破却させ、関での通行料の徴収を禁止する</t>
    <rPh sb="0" eb="2">
      <t>オダ</t>
    </rPh>
    <rPh sb="2" eb="4">
      <t>ノブナガ</t>
    </rPh>
    <rPh sb="5" eb="7">
      <t>セキシ</t>
    </rPh>
    <rPh sb="8" eb="10">
      <t>イセ</t>
    </rPh>
    <rPh sb="10" eb="11">
      <t>クニ</t>
    </rPh>
    <rPh sb="11" eb="12">
      <t>ナイ</t>
    </rPh>
    <rPh sb="13" eb="15">
      <t>フヨウ</t>
    </rPh>
    <rPh sb="16" eb="17">
      <t>シロ</t>
    </rPh>
    <rPh sb="18" eb="20">
      <t>ハキャク</t>
    </rPh>
    <rPh sb="23" eb="24">
      <t>セキ</t>
    </rPh>
    <rPh sb="26" eb="29">
      <t>ツウコウリョウ</t>
    </rPh>
    <rPh sb="28" eb="29">
      <t>リョウ</t>
    </rPh>
    <rPh sb="30" eb="32">
      <t>チョウシュウ</t>
    </rPh>
    <rPh sb="33" eb="35">
      <t>キンシ</t>
    </rPh>
    <phoneticPr fontId="2"/>
  </si>
  <si>
    <t>日本の歴史の中の亀山／中世の亀山／東アジアとのかかわり／戦乱の亀山／織田信長と関氏</t>
    <phoneticPr fontId="2"/>
  </si>
  <si>
    <t>http://kameyamarekihaku.jp/kodomo/w_e_b/rekishi/chusei/kakawari/senran/page001.html</t>
  </si>
  <si>
    <t>安土桃山時代</t>
  </si>
  <si>
    <t>天正元</t>
  </si>
  <si>
    <t>織田信長が室町幕府をほろぼす</t>
  </si>
  <si>
    <t>関盛信、織田信長により亀山城を追放される</t>
    <rPh sb="0" eb="1">
      <t>セキ</t>
    </rPh>
    <rPh sb="1" eb="3">
      <t>モリノブ</t>
    </rPh>
    <rPh sb="4" eb="6">
      <t>オダ</t>
    </rPh>
    <rPh sb="6" eb="8">
      <t>ノブナガ</t>
    </rPh>
    <rPh sb="11" eb="14">
      <t>カメヤマジョウ</t>
    </rPh>
    <rPh sb="15" eb="17">
      <t>ツイホウ</t>
    </rPh>
    <phoneticPr fontId="2"/>
  </si>
  <si>
    <t>本丸町</t>
    <rPh sb="0" eb="2">
      <t>ホンマル</t>
    </rPh>
    <phoneticPr fontId="2"/>
  </si>
  <si>
    <t>日本の歴史の中の亀山／中世の亀山／東アジアとのかかわり／戦乱の亀山／織田信長と関氏</t>
    <phoneticPr fontId="2"/>
  </si>
  <si>
    <t>天正2</t>
    <phoneticPr fontId="2"/>
  </si>
  <si>
    <t>峯氏滅ぶ
岡本良勝、峯城主となる</t>
    <rPh sb="0" eb="1">
      <t>ミネ</t>
    </rPh>
    <rPh sb="1" eb="2">
      <t>シ</t>
    </rPh>
    <rPh sb="2" eb="3">
      <t>ホロ</t>
    </rPh>
    <rPh sb="5" eb="7">
      <t>オカモト</t>
    </rPh>
    <rPh sb="7" eb="9">
      <t>ヨシカツ</t>
    </rPh>
    <rPh sb="10" eb="11">
      <t>ミネ</t>
    </rPh>
    <rPh sb="11" eb="13">
      <t>ジョウシュ</t>
    </rPh>
    <phoneticPr fontId="2"/>
  </si>
  <si>
    <t>岡本良勝</t>
    <phoneticPr fontId="2"/>
  </si>
  <si>
    <t>峯城跡</t>
    <rPh sb="0" eb="2">
      <t>ミネジョウ</t>
    </rPh>
    <rPh sb="2" eb="3">
      <t>アト</t>
    </rPh>
    <phoneticPr fontId="2"/>
  </si>
  <si>
    <t>亀山のむかしばなし／こわいはなし／かんざし井戸</t>
    <rPh sb="0" eb="2">
      <t>カメヤマ</t>
    </rPh>
    <rPh sb="21" eb="23">
      <t>イド</t>
    </rPh>
    <phoneticPr fontId="2"/>
  </si>
  <si>
    <t>http://kameyamarekihaku.jp/kodomo/w_e_b/hanashi/mukashi/page004.html</t>
  </si>
  <si>
    <t>亀山城と宿場／安土桃山時代の亀山城主／岡本良勝の出身</t>
    <rPh sb="0" eb="3">
      <t>カメヤマジョウ</t>
    </rPh>
    <rPh sb="4" eb="13">
      <t>シュクバ・アヅチモモヤマジダイ</t>
    </rPh>
    <rPh sb="14" eb="17">
      <t>カメヤマジョウ</t>
    </rPh>
    <rPh sb="17" eb="18">
      <t>シュ</t>
    </rPh>
    <rPh sb="19" eb="23">
      <t>オカモトヨシカツ</t>
    </rPh>
    <rPh sb="24" eb="26">
      <t>シュッシン</t>
    </rPh>
    <phoneticPr fontId="2"/>
  </si>
  <si>
    <t>http://kameyamarekihaku.jp/kodomo/w_e_b/syukuba/joushu-adudhi/page001.html</t>
  </si>
  <si>
    <t>亀山のいいとこさがし／景色のよいところや歴史を知る手掛かりとなるもの／歴史上の場所／峯城跡</t>
    <rPh sb="42" eb="43">
      <t>ミネ</t>
    </rPh>
    <rPh sb="43" eb="44">
      <t>ジョウ</t>
    </rPh>
    <rPh sb="44" eb="45">
      <t>アト</t>
    </rPh>
    <phoneticPr fontId="2"/>
  </si>
  <si>
    <t>天正10</t>
    <rPh sb="0" eb="2">
      <t>テンショウ</t>
    </rPh>
    <phoneticPr fontId="2"/>
  </si>
  <si>
    <t>関盛信、神戸信孝の四国出兵に際して、許されて亀山城に戻る</t>
    <rPh sb="0" eb="1">
      <t>セキ</t>
    </rPh>
    <rPh sb="1" eb="2">
      <t>モ</t>
    </rPh>
    <rPh sb="2" eb="3">
      <t>シン</t>
    </rPh>
    <rPh sb="4" eb="6">
      <t>カンベ</t>
    </rPh>
    <rPh sb="6" eb="8">
      <t>ノブタカ</t>
    </rPh>
    <rPh sb="9" eb="11">
      <t>シコク</t>
    </rPh>
    <rPh sb="11" eb="13">
      <t>シュッペイ</t>
    </rPh>
    <rPh sb="14" eb="15">
      <t>サイ</t>
    </rPh>
    <rPh sb="18" eb="19">
      <t>ユル</t>
    </rPh>
    <rPh sb="22" eb="24">
      <t>カメヤマ</t>
    </rPh>
    <rPh sb="24" eb="25">
      <t>シロ</t>
    </rPh>
    <rPh sb="26" eb="27">
      <t>モド</t>
    </rPh>
    <phoneticPr fontId="2"/>
  </si>
  <si>
    <t>関盛信</t>
    <rPh sb="0" eb="1">
      <t>セキ</t>
    </rPh>
    <rPh sb="1" eb="2">
      <t>モ</t>
    </rPh>
    <rPh sb="2" eb="3">
      <t>シン</t>
    </rPh>
    <phoneticPr fontId="2"/>
  </si>
  <si>
    <t>日本の歴史の中の亀山／中世の亀山／東アジアとのかかわり／戦乱の亀山／織田信長と関氏</t>
    <phoneticPr fontId="2"/>
  </si>
  <si>
    <t>本能寺の変。天正遣欧少年使節が出発する（～90）</t>
    <phoneticPr fontId="2"/>
  </si>
  <si>
    <t>徳川家康、本能寺の変のため、堺から加太・関を通って三河へ逃げる</t>
    <phoneticPr fontId="2"/>
  </si>
  <si>
    <t>徳川家康</t>
  </si>
  <si>
    <t>『亀山地方郷土史』
『亀山市史』通史 原始古代中世</t>
    <rPh sb="1" eb="3">
      <t>カメヤマ</t>
    </rPh>
    <rPh sb="3" eb="5">
      <t>チホウ</t>
    </rPh>
    <rPh sb="5" eb="8">
      <t>キョウドシ</t>
    </rPh>
    <rPh sb="10" eb="25">
      <t>ツ</t>
    </rPh>
    <phoneticPr fontId="2"/>
  </si>
  <si>
    <t>天正11</t>
  </si>
  <si>
    <t>羽柴秀吉、安楽越えから進攻して亀山城・峯城の攻防戦がおこなわれる</t>
  </si>
  <si>
    <t>亀山のむかしばなし／亀山にまつわるひとびとの話／がもじがきた</t>
    <phoneticPr fontId="2"/>
  </si>
  <si>
    <t>http://kameyamarekihaku.jp/kodomo/w_e_b/hanashi/hitobito/page010.html</t>
  </si>
  <si>
    <t>亀山のむかしばなし／亀山にまつわるひとびとの話／羽柴秀吉と橋板</t>
    <rPh sb="24" eb="26">
      <t>ハシバ</t>
    </rPh>
    <rPh sb="26" eb="28">
      <t>ヒデヨシ</t>
    </rPh>
    <rPh sb="29" eb="30">
      <t>ハシ</t>
    </rPh>
    <rPh sb="30" eb="31">
      <t>イタ</t>
    </rPh>
    <phoneticPr fontId="2"/>
  </si>
  <si>
    <t>http://kameyamarekihaku.jp/kodomo/w_e_b/hanashi/hitobito/page012.html</t>
  </si>
  <si>
    <t>亀山のむかしばなし／おもしろいおはなし／峯城歌合戦</t>
    <rPh sb="0" eb="2">
      <t>カメヤマ</t>
    </rPh>
    <rPh sb="20" eb="21">
      <t>ミネ</t>
    </rPh>
    <rPh sb="21" eb="22">
      <t>ジョウ</t>
    </rPh>
    <rPh sb="22" eb="25">
      <t>ウタガッセン</t>
    </rPh>
    <phoneticPr fontId="2"/>
  </si>
  <si>
    <t>http://kameyamarekihaku.jp/kodomo/w_e_b/hanashi/omoshiroi/page012.html</t>
  </si>
  <si>
    <t>日本の歴史の中の亀山／中世の亀山／東アジアとのかかわり／戦国時代の亀山／中世の城跡</t>
    <phoneticPr fontId="2"/>
  </si>
  <si>
    <t>日本の歴史の中の亀山／中世の亀山／東アジアとのかかわり／戦乱の亀山／羽柴秀吉の亀山・峯城攻め</t>
    <rPh sb="34" eb="38">
      <t>ハシバヒデヨシ</t>
    </rPh>
    <rPh sb="39" eb="41">
      <t>カメヤマ</t>
    </rPh>
    <rPh sb="42" eb="43">
      <t>ミネ</t>
    </rPh>
    <rPh sb="43" eb="44">
      <t>ジョウ</t>
    </rPh>
    <rPh sb="44" eb="45">
      <t>ゼ</t>
    </rPh>
    <phoneticPr fontId="2"/>
  </si>
  <si>
    <t>http://kameyamarekihaku.jp/kodomo/w_e_b/rekishi/chusei/kakawari/senran/page002.html</t>
  </si>
  <si>
    <t>亀山のいいとこさがし／景色のよいところや歴史を知る手掛かりとなるもの／歴史上の場所／峯城跡</t>
    <rPh sb="44" eb="45">
      <t>アト</t>
    </rPh>
    <phoneticPr fontId="2"/>
  </si>
  <si>
    <t>織田信孝の菩提を弔うため、福蔵寺を建立する</t>
    <rPh sb="0" eb="2">
      <t>オダ</t>
    </rPh>
    <rPh sb="2" eb="4">
      <t>ノブタカ</t>
    </rPh>
    <rPh sb="5" eb="7">
      <t>ボダイ</t>
    </rPh>
    <rPh sb="8" eb="9">
      <t>トムラ</t>
    </rPh>
    <rPh sb="13" eb="14">
      <t>フク</t>
    </rPh>
    <rPh sb="14" eb="15">
      <t>クラ</t>
    </rPh>
    <rPh sb="15" eb="16">
      <t>テラ</t>
    </rPh>
    <rPh sb="17" eb="19">
      <t>コンリュウ</t>
    </rPh>
    <phoneticPr fontId="2"/>
  </si>
  <si>
    <t>福蔵寺</t>
    <rPh sb="0" eb="1">
      <t>フク</t>
    </rPh>
    <rPh sb="1" eb="2">
      <t>クラ</t>
    </rPh>
    <rPh sb="2" eb="3">
      <t>テラ</t>
    </rPh>
    <phoneticPr fontId="2"/>
  </si>
  <si>
    <t>織田信孝
大塚良政</t>
    <rPh sb="0" eb="2">
      <t>オダ</t>
    </rPh>
    <rPh sb="2" eb="4">
      <t>ノブタカ</t>
    </rPh>
    <rPh sb="5" eb="7">
      <t>オオツカ</t>
    </rPh>
    <rPh sb="7" eb="9">
      <t>ヨシマサ</t>
    </rPh>
    <phoneticPr fontId="2"/>
  </si>
  <si>
    <t>天正12</t>
  </si>
  <si>
    <t>徳川家康と羽柴秀吉が対立し、羽柴秀吉、北伊勢に侵攻する</t>
    <rPh sb="19" eb="20">
      <t>キタ</t>
    </rPh>
    <rPh sb="20" eb="22">
      <t>イセ</t>
    </rPh>
    <rPh sb="23" eb="25">
      <t>シンコウ</t>
    </rPh>
    <phoneticPr fontId="2"/>
  </si>
  <si>
    <t>江戸時代前の亀山城・峯城跡</t>
    <phoneticPr fontId="2"/>
  </si>
  <si>
    <t>羽柴秀吉</t>
    <rPh sb="0" eb="2">
      <t>ハシバ</t>
    </rPh>
    <rPh sb="2" eb="4">
      <t>ヒデヨシ</t>
    </rPh>
    <phoneticPr fontId="2"/>
  </si>
  <si>
    <t>峯城跡</t>
    <phoneticPr fontId="2"/>
  </si>
  <si>
    <t>織田信雄が、亀山城を攻め、そこで、関一政が攻撃に持ちこたえたことを羽柴秀吉がねぎらう</t>
    <phoneticPr fontId="2"/>
  </si>
  <si>
    <t>関一政</t>
  </si>
  <si>
    <t>峯城跡　亀山城跡</t>
    <rPh sb="4" eb="6">
      <t>カメヤマ</t>
    </rPh>
    <rPh sb="6" eb="8">
      <t>シロアト</t>
    </rPh>
    <phoneticPr fontId="2"/>
  </si>
  <si>
    <t>亀山城と宿場／江戸時代の亀山城主／関一政</t>
    <rPh sb="0" eb="3">
      <t>カメヤマジョウ</t>
    </rPh>
    <rPh sb="4" eb="6">
      <t>シュクバ</t>
    </rPh>
    <rPh sb="7" eb="9">
      <t>エド</t>
    </rPh>
    <rPh sb="9" eb="11">
      <t>ジダイ</t>
    </rPh>
    <rPh sb="12" eb="15">
      <t>カメヤマジョウ</t>
    </rPh>
    <rPh sb="15" eb="16">
      <t>シュ</t>
    </rPh>
    <rPh sb="17" eb="18">
      <t>セキ</t>
    </rPh>
    <rPh sb="18" eb="20">
      <t>カズマサ</t>
    </rPh>
    <phoneticPr fontId="2"/>
  </si>
  <si>
    <t>http://kameyamarekihaku.jp/kodomo/w_e_b/syukuba/joushu-edo/page002.html</t>
  </si>
  <si>
    <t>日本の歴史の中の亀山／中世の亀山／東アジアとのかかわり／戦国時代の亀山／中世の城跡</t>
    <phoneticPr fontId="2"/>
  </si>
  <si>
    <t>亀山のいいとこさがし／手紙や本／手紙や記録など／豊臣秀吉朱印状</t>
  </si>
  <si>
    <t>http://kameyamarekihaku.jp/kodomo/w_e_b/iitoko/tegami/kiroku/page002.html</t>
  </si>
  <si>
    <t>羽柴秀吉、峯城を攻める</t>
    <rPh sb="5" eb="6">
      <t>ミネ</t>
    </rPh>
    <rPh sb="6" eb="7">
      <t>シロ</t>
    </rPh>
    <rPh sb="8" eb="9">
      <t>セ</t>
    </rPh>
    <phoneticPr fontId="2"/>
  </si>
  <si>
    <t>峯城跡</t>
  </si>
  <si>
    <t>『亀山市史』史料編 古代中世</t>
    <phoneticPr fontId="2"/>
  </si>
  <si>
    <t>日本の歴史の中の亀山／中世の亀山／東アジアとのかかわり／戦乱の亀山／羽柴秀吉の亀山・峯城攻め</t>
    <rPh sb="34" eb="38">
      <t>ハシバヒデヨシ</t>
    </rPh>
    <rPh sb="39" eb="41">
      <t>カメヤマ</t>
    </rPh>
    <rPh sb="42" eb="45">
      <t>ミネジョウゼ</t>
    </rPh>
    <phoneticPr fontId="2"/>
  </si>
  <si>
    <t>天正13</t>
  </si>
  <si>
    <t>大地震により亀山城崩壊する（天正地震）</t>
    <rPh sb="0" eb="3">
      <t>ダイジシン</t>
    </rPh>
    <rPh sb="6" eb="8">
      <t>カメヤマ</t>
    </rPh>
    <rPh sb="8" eb="9">
      <t>シロ</t>
    </rPh>
    <rPh sb="9" eb="11">
      <t>ホウカイ</t>
    </rPh>
    <rPh sb="14" eb="16">
      <t>テンショウ</t>
    </rPh>
    <rPh sb="16" eb="18">
      <t>ジシン</t>
    </rPh>
    <phoneticPr fontId="2"/>
  </si>
  <si>
    <t>亀山城跡</t>
    <phoneticPr fontId="2"/>
  </si>
  <si>
    <t>ルイス=フロイス</t>
    <phoneticPr fontId="2"/>
  </si>
  <si>
    <t>『亀山市史』通史 原始古代中世
『亀山市史』史料編 古代中世</t>
    <rPh sb="17" eb="20">
      <t>カメヤマシ</t>
    </rPh>
    <rPh sb="20" eb="21">
      <t>シ</t>
    </rPh>
    <rPh sb="26" eb="28">
      <t>コダイ</t>
    </rPh>
    <rPh sb="28" eb="30">
      <t>チュウセイ</t>
    </rPh>
    <phoneticPr fontId="2"/>
  </si>
  <si>
    <t>天正14</t>
  </si>
  <si>
    <t>岡本良勝、豊臣秀吉の九州征伐に参陣する</t>
    <rPh sb="0" eb="2">
      <t>オカモト</t>
    </rPh>
    <rPh sb="2" eb="4">
      <t>ヨシカツ</t>
    </rPh>
    <rPh sb="5" eb="7">
      <t>トヨトミ</t>
    </rPh>
    <rPh sb="7" eb="9">
      <t>ヒデヨシ</t>
    </rPh>
    <rPh sb="10" eb="12">
      <t>キュウシュウ</t>
    </rPh>
    <rPh sb="12" eb="14">
      <t>セイバツ</t>
    </rPh>
    <rPh sb="15" eb="16">
      <t>サン</t>
    </rPh>
    <rPh sb="16" eb="17">
      <t>ジン</t>
    </rPh>
    <phoneticPr fontId="2"/>
  </si>
  <si>
    <t>岡本良勝</t>
    <rPh sb="0" eb="2">
      <t>オカモト</t>
    </rPh>
    <rPh sb="2" eb="4">
      <t>ヨシカツ</t>
    </rPh>
    <phoneticPr fontId="2"/>
  </si>
  <si>
    <t>甫庵太閤記</t>
    <rPh sb="0" eb="1">
      <t>ホ</t>
    </rPh>
    <rPh sb="1" eb="2">
      <t>イオリ</t>
    </rPh>
    <rPh sb="2" eb="5">
      <t>タイコウキ</t>
    </rPh>
    <phoneticPr fontId="2"/>
  </si>
  <si>
    <t>日本の歴史の中の亀山／近世の亀山／豊臣秀吉による統一事業と亀山市域／朝鮮国攻めと岡本下野守</t>
    <rPh sb="11" eb="13">
      <t>キンセイ</t>
    </rPh>
    <rPh sb="14" eb="16">
      <t>カメヤマ</t>
    </rPh>
    <rPh sb="17" eb="19">
      <t>トヨトミ</t>
    </rPh>
    <rPh sb="19" eb="21">
      <t>ヒデヨシ</t>
    </rPh>
    <rPh sb="24" eb="26">
      <t>トウイツ</t>
    </rPh>
    <rPh sb="26" eb="28">
      <t>ジギョウ</t>
    </rPh>
    <rPh sb="29" eb="32">
      <t>カメヤマシ</t>
    </rPh>
    <rPh sb="32" eb="33">
      <t>イキ</t>
    </rPh>
    <rPh sb="34" eb="36">
      <t>チョウセン</t>
    </rPh>
    <rPh sb="36" eb="37">
      <t>コク</t>
    </rPh>
    <rPh sb="37" eb="38">
      <t>セ</t>
    </rPh>
    <rPh sb="40" eb="42">
      <t>オカモト</t>
    </rPh>
    <rPh sb="42" eb="44">
      <t>シモツケ</t>
    </rPh>
    <rPh sb="44" eb="45">
      <t>カミ</t>
    </rPh>
    <phoneticPr fontId="2"/>
  </si>
  <si>
    <t>http://kameyamarekihaku.jp/kodomo/w_e_b/rekishi/kinsei/shiiki/page003.html</t>
  </si>
  <si>
    <t>天正16</t>
    <rPh sb="0" eb="2">
      <t>テンショウ</t>
    </rPh>
    <phoneticPr fontId="2"/>
  </si>
  <si>
    <t>刀狩リが行われる</t>
  </si>
  <si>
    <t>日本の歴史の中の亀山／近世の亀山／豊臣秀吉による統一事業と亀山市域</t>
    <rPh sb="32" eb="33">
      <t>イキ</t>
    </rPh>
    <phoneticPr fontId="2"/>
  </si>
  <si>
    <t>http://kameyamarekihaku.jp/kodomo/w_e_b/rekishi/kinsei/shiiki/index.html</t>
  </si>
  <si>
    <t>天正18</t>
    <phoneticPr fontId="2"/>
  </si>
  <si>
    <t>豊臣秀吉が全国を統一する</t>
  </si>
  <si>
    <t>関一政、岡本良勝、豊臣秀吉の関東・奥州征伐に参陣する</t>
    <rPh sb="9" eb="11">
      <t>トヨトミ</t>
    </rPh>
    <rPh sb="11" eb="13">
      <t>ヒデヨシ</t>
    </rPh>
    <rPh sb="14" eb="16">
      <t>カントウ</t>
    </rPh>
    <rPh sb="17" eb="19">
      <t>オウシュウ</t>
    </rPh>
    <rPh sb="19" eb="21">
      <t>セイバツ</t>
    </rPh>
    <rPh sb="22" eb="23">
      <t>サン</t>
    </rPh>
    <rPh sb="23" eb="24">
      <t>ジン</t>
    </rPh>
    <phoneticPr fontId="2"/>
  </si>
  <si>
    <t>関一政</t>
    <rPh sb="0" eb="1">
      <t>セキ</t>
    </rPh>
    <rPh sb="1" eb="2">
      <t>イチ</t>
    </rPh>
    <phoneticPr fontId="2"/>
  </si>
  <si>
    <t>『亀山市史』通史 原始古代中世
『亀山市史』史料編 古代中世
『亀山市史』通史　近世</t>
    <rPh sb="17" eb="20">
      <t>カメヤマシ</t>
    </rPh>
    <rPh sb="20" eb="21">
      <t>シ</t>
    </rPh>
    <rPh sb="26" eb="28">
      <t>コダイ</t>
    </rPh>
    <rPh sb="28" eb="30">
      <t>チュウセイ</t>
    </rPh>
    <rPh sb="31" eb="42">
      <t>キ</t>
    </rPh>
    <phoneticPr fontId="2"/>
  </si>
  <si>
    <t>亀山城と宿場／江戸時代の亀山城主／関一政</t>
    <rPh sb="0" eb="3">
      <t>カメヤマジョウ</t>
    </rPh>
    <rPh sb="4" eb="6">
      <t>シュクバ</t>
    </rPh>
    <rPh sb="7" eb="11">
      <t>エドジダイ</t>
    </rPh>
    <rPh sb="12" eb="17">
      <t>カメヤマジョウシュ・</t>
    </rPh>
    <rPh sb="17" eb="20">
      <t>セキカズマサ</t>
    </rPh>
    <phoneticPr fontId="2"/>
  </si>
  <si>
    <t>岡本良勝、亀山城主となり、城を再築するという</t>
    <rPh sb="8" eb="9">
      <t>シュ</t>
    </rPh>
    <rPh sb="13" eb="14">
      <t>シロ</t>
    </rPh>
    <rPh sb="15" eb="17">
      <t>サイチク</t>
    </rPh>
    <phoneticPr fontId="2"/>
  </si>
  <si>
    <t>亀山城跡</t>
    <phoneticPr fontId="2"/>
  </si>
  <si>
    <t>九々五集（半田写本）</t>
    <rPh sb="0" eb="2">
      <t>クク</t>
    </rPh>
    <rPh sb="2" eb="4">
      <t>ゴシュウ</t>
    </rPh>
    <rPh sb="5" eb="7">
      <t>ハンダ</t>
    </rPh>
    <rPh sb="7" eb="9">
      <t>シャホン</t>
    </rPh>
    <phoneticPr fontId="2"/>
  </si>
  <si>
    <t>亀山城跡</t>
    <rPh sb="0" eb="3">
      <t>カメヤマジョウ</t>
    </rPh>
    <rPh sb="3" eb="4">
      <t>アト</t>
    </rPh>
    <phoneticPr fontId="2"/>
  </si>
  <si>
    <t>亀山城と宿場／亀山城のつくり</t>
    <phoneticPr fontId="2"/>
  </si>
  <si>
    <t>http://kameyamarekihaku.jp/kodomo/w_e_b/syukuba/tsukuri/index.html</t>
  </si>
  <si>
    <t>『九々五集』
『亀山市史』通史　近世</t>
    <rPh sb="7" eb="18">
      <t>キ</t>
    </rPh>
    <phoneticPr fontId="2"/>
  </si>
  <si>
    <t>画像史料：「御本丸御屋敷地坪」（亀山市史近世・近代・現代史料データベース　館蔵加藤家文書66-0-25）</t>
    <rPh sb="0" eb="2">
      <t>ガゾウ</t>
    </rPh>
    <rPh sb="2" eb="4">
      <t>シリョウ</t>
    </rPh>
    <rPh sb="6" eb="7">
      <t>オン</t>
    </rPh>
    <rPh sb="7" eb="9">
      <t>ホンマル</t>
    </rPh>
    <rPh sb="9" eb="12">
      <t>オヤシキ</t>
    </rPh>
    <rPh sb="12" eb="13">
      <t>チ</t>
    </rPh>
    <rPh sb="13" eb="14">
      <t>ツボ</t>
    </rPh>
    <rPh sb="16" eb="19">
      <t>カメヤマシ</t>
    </rPh>
    <rPh sb="19" eb="20">
      <t>シ</t>
    </rPh>
    <rPh sb="20" eb="22">
      <t>キンセイ</t>
    </rPh>
    <rPh sb="23" eb="25">
      <t>キンダイ</t>
    </rPh>
    <rPh sb="26" eb="28">
      <t>ゲンダイ</t>
    </rPh>
    <rPh sb="28" eb="30">
      <t>シリョウ</t>
    </rPh>
    <phoneticPr fontId="2"/>
  </si>
  <si>
    <t>亀山城と宿場／岡本良勝の亀山城築城</t>
    <phoneticPr fontId="2"/>
  </si>
  <si>
    <t>http://kameyamarekihaku.jp/kodomo/w_e_b/syukuba/chikujou/index.html</t>
  </si>
  <si>
    <t>亀山城と宿場／安土桃山時代の亀山城主／岡本良勝の出身</t>
    <rPh sb="0" eb="3">
      <t>カメヤマジョウ</t>
    </rPh>
    <rPh sb="4" eb="7">
      <t>シュクバ・</t>
    </rPh>
    <rPh sb="7" eb="9">
      <t>アヅチ</t>
    </rPh>
    <rPh sb="9" eb="11">
      <t>モモヤマ</t>
    </rPh>
    <rPh sb="11" eb="13">
      <t>ジダイ</t>
    </rPh>
    <rPh sb="14" eb="17">
      <t>カメヤマジョウ</t>
    </rPh>
    <rPh sb="17" eb="18">
      <t>シュ</t>
    </rPh>
    <rPh sb="19" eb="21">
      <t>オカモト</t>
    </rPh>
    <rPh sb="21" eb="23">
      <t>ヨシカツ</t>
    </rPh>
    <rPh sb="24" eb="26">
      <t>シュッシン</t>
    </rPh>
    <phoneticPr fontId="2"/>
  </si>
  <si>
    <t>日本の歴史の中の亀山／近世の亀山／豊臣秀吉による統一事業と亀山市／岡本下野守と亀山城</t>
    <rPh sb="11" eb="13">
      <t>キンセイ</t>
    </rPh>
    <rPh sb="14" eb="16">
      <t>カメヤマ</t>
    </rPh>
    <rPh sb="17" eb="19">
      <t>トヨトミ</t>
    </rPh>
    <rPh sb="19" eb="21">
      <t>ヒデヨシ</t>
    </rPh>
    <rPh sb="24" eb="26">
      <t>トウイツ</t>
    </rPh>
    <rPh sb="26" eb="28">
      <t>ジギョウ</t>
    </rPh>
    <rPh sb="29" eb="32">
      <t>カメヤマシ</t>
    </rPh>
    <rPh sb="33" eb="35">
      <t>オカモト</t>
    </rPh>
    <rPh sb="35" eb="37">
      <t>シモツケ</t>
    </rPh>
    <rPh sb="37" eb="38">
      <t>カミ</t>
    </rPh>
    <rPh sb="39" eb="42">
      <t>カメヤマジョウ</t>
    </rPh>
    <phoneticPr fontId="2"/>
  </si>
  <si>
    <t>http://kameyamarekihaku.jp/kodomo/w_e_b/rekishi/kinsei/shiiki/page004.html</t>
  </si>
  <si>
    <t>関地蔵･木崎が徳川家康の領地となる</t>
    <phoneticPr fontId="2"/>
  </si>
  <si>
    <t>関町新所　　　　　　　　関町木崎</t>
    <rPh sb="0" eb="2">
      <t>セキチョウ</t>
    </rPh>
    <rPh sb="2" eb="3">
      <t>シン</t>
    </rPh>
    <rPh sb="3" eb="4">
      <t>ショ</t>
    </rPh>
    <rPh sb="12" eb="13">
      <t>セキ</t>
    </rPh>
    <rPh sb="13" eb="14">
      <t>マチ</t>
    </rPh>
    <rPh sb="14" eb="16">
      <t>キザキ</t>
    </rPh>
    <phoneticPr fontId="2"/>
  </si>
  <si>
    <t>御茶屋御殿跡</t>
    <phoneticPr fontId="2"/>
  </si>
  <si>
    <t>徳川家康</t>
    <rPh sb="0" eb="2">
      <t>トクガワ</t>
    </rPh>
    <phoneticPr fontId="2"/>
  </si>
  <si>
    <t>御茶屋御殿跡</t>
    <rPh sb="0" eb="3">
      <t>オチャヤ</t>
    </rPh>
    <rPh sb="3" eb="5">
      <t>ゴテン</t>
    </rPh>
    <rPh sb="5" eb="6">
      <t>アト</t>
    </rPh>
    <phoneticPr fontId="2"/>
  </si>
  <si>
    <t>亀山城と宿場／亀山城と江戸幕府／亀山城に泊まった将軍／徳川家康と御茶屋御殿</t>
    <rPh sb="27" eb="29">
      <t>トクガワ</t>
    </rPh>
    <rPh sb="29" eb="31">
      <t>イエヤス</t>
    </rPh>
    <rPh sb="32" eb="35">
      <t>オチャヤ</t>
    </rPh>
    <rPh sb="35" eb="37">
      <t>ゴテン</t>
    </rPh>
    <phoneticPr fontId="2"/>
  </si>
  <si>
    <t>http://kameyamarekihaku.jp/kodomo/w_e_b/syukuba/edobakufu/syogun/page004.html</t>
  </si>
  <si>
    <t>『亀山市史』通史 原始古代中世
『亀山市史』史料編 古代中世
『亀山市史』考古分野</t>
    <rPh sb="17" eb="20">
      <t>カメヤマシ</t>
    </rPh>
    <rPh sb="20" eb="21">
      <t>シ</t>
    </rPh>
    <rPh sb="26" eb="28">
      <t>コダイ</t>
    </rPh>
    <rPh sb="28" eb="30">
      <t>チュウセイ</t>
    </rPh>
    <rPh sb="31" eb="41">
      <t>カ</t>
    </rPh>
    <phoneticPr fontId="2"/>
  </si>
  <si>
    <t>天正19</t>
  </si>
  <si>
    <t>関一政、陸奥白河城に移される</t>
    <rPh sb="7" eb="8">
      <t>カワ</t>
    </rPh>
    <phoneticPr fontId="2"/>
  </si>
  <si>
    <t>亀山城と宿場／江戸時代の亀山城主／関一政</t>
    <rPh sb="0" eb="3">
      <t>カメヤマジョウ</t>
    </rPh>
    <rPh sb="4" eb="7">
      <t>シュクバ・</t>
    </rPh>
    <rPh sb="7" eb="11">
      <t>エドジダイ</t>
    </rPh>
    <rPh sb="12" eb="17">
      <t>カメヤマジョウシュ・</t>
    </rPh>
    <rPh sb="17" eb="18">
      <t>セキ</t>
    </rPh>
    <rPh sb="18" eb="20">
      <t>カズマサ</t>
    </rPh>
    <phoneticPr fontId="2"/>
  </si>
  <si>
    <t>天正20</t>
    <rPh sb="0" eb="2">
      <t>テンショウ</t>
    </rPh>
    <phoneticPr fontId="2"/>
  </si>
  <si>
    <t>川崎･池山が堀尾吉晴の領地となる</t>
    <phoneticPr fontId="2"/>
  </si>
  <si>
    <t>川崎
野登</t>
    <rPh sb="0" eb="2">
      <t>カワサキ</t>
    </rPh>
    <rPh sb="3" eb="4">
      <t>ノ</t>
    </rPh>
    <rPh sb="4" eb="5">
      <t>ノボル</t>
    </rPh>
    <phoneticPr fontId="2"/>
  </si>
  <si>
    <t>川崎町
安坂山町</t>
    <rPh sb="4" eb="5">
      <t>アン</t>
    </rPh>
    <rPh sb="5" eb="6">
      <t>サカ</t>
    </rPh>
    <rPh sb="6" eb="7">
      <t>ヤマ</t>
    </rPh>
    <rPh sb="7" eb="8">
      <t>マチ</t>
    </rPh>
    <phoneticPr fontId="2"/>
  </si>
  <si>
    <t>堀尾吉晴</t>
    <rPh sb="2" eb="3">
      <t>ヨシ</t>
    </rPh>
    <phoneticPr fontId="2"/>
  </si>
  <si>
    <t>日本の歴史の中の亀山／近世の亀山／豊臣秀吉による統一事業と亀山市／豊臣秀吉が大名に与えた鈴鹿郡の村</t>
    <phoneticPr fontId="2"/>
  </si>
  <si>
    <t>http://kameyamarekihaku.jp/kodomo/w_e_b/rekishi/kinsei/shiiki/page002.html</t>
  </si>
  <si>
    <t>岡本良勝、朝鮮出兵に当り肥前名護屋舟奉行に命じられる</t>
    <rPh sb="0" eb="2">
      <t>オカモト</t>
    </rPh>
    <rPh sb="2" eb="4">
      <t>ヨシカツ</t>
    </rPh>
    <rPh sb="5" eb="7">
      <t>チョウセン</t>
    </rPh>
    <rPh sb="7" eb="9">
      <t>シュッペイ</t>
    </rPh>
    <rPh sb="10" eb="11">
      <t>アタ</t>
    </rPh>
    <rPh sb="12" eb="14">
      <t>ヒゼン</t>
    </rPh>
    <rPh sb="14" eb="17">
      <t>ナゴヤ</t>
    </rPh>
    <rPh sb="17" eb="18">
      <t>フネ</t>
    </rPh>
    <rPh sb="18" eb="20">
      <t>ブギョウ</t>
    </rPh>
    <rPh sb="21" eb="22">
      <t>メイ</t>
    </rPh>
    <phoneticPr fontId="2"/>
  </si>
  <si>
    <t xml:space="preserve">『亀山市史』通史 近世
</t>
    <rPh sb="9" eb="11">
      <t>キンセイ</t>
    </rPh>
    <phoneticPr fontId="2"/>
  </si>
  <si>
    <t>文禄元</t>
  </si>
  <si>
    <t>秀吉が朝鮮侵略をする</t>
  </si>
  <si>
    <t>岡本良勝、朝鮮に出陣し、晋州城攻撃に参加する</t>
    <phoneticPr fontId="2"/>
  </si>
  <si>
    <t>岡本良勝</t>
    <phoneticPr fontId="2"/>
  </si>
  <si>
    <t>『亀山市史』通史 近世　</t>
    <rPh sb="6" eb="8">
      <t>ツウシ</t>
    </rPh>
    <rPh sb="9" eb="11">
      <t>キンセイ</t>
    </rPh>
    <phoneticPr fontId="2"/>
  </si>
  <si>
    <t>文禄2</t>
    <phoneticPr fontId="2"/>
  </si>
  <si>
    <t>豊臣秀吉、三河からの帰路に亀山に宿泊する</t>
    <rPh sb="0" eb="2">
      <t>トヨトミ</t>
    </rPh>
    <rPh sb="2" eb="4">
      <t>ヒデヨシ</t>
    </rPh>
    <rPh sb="5" eb="7">
      <t>ミカワ</t>
    </rPh>
    <rPh sb="10" eb="12">
      <t>キロ</t>
    </rPh>
    <rPh sb="13" eb="15">
      <t>カメヤマ</t>
    </rPh>
    <rPh sb="16" eb="18">
      <t>シュクハク</t>
    </rPh>
    <phoneticPr fontId="2"/>
  </si>
  <si>
    <t>豊臣秀吉</t>
    <rPh sb="0" eb="2">
      <t>トヨトミ</t>
    </rPh>
    <rPh sb="2" eb="4">
      <t>ヒデヨシ</t>
    </rPh>
    <phoneticPr fontId="2"/>
  </si>
  <si>
    <t>文禄3～</t>
    <phoneticPr fontId="2"/>
  </si>
  <si>
    <t>1594～</t>
    <phoneticPr fontId="2"/>
  </si>
  <si>
    <t>太閤検地が行われる</t>
    <rPh sb="0" eb="4">
      <t>タイコウケンチ</t>
    </rPh>
    <rPh sb="5" eb="6">
      <t>オコナ</t>
    </rPh>
    <phoneticPr fontId="2"/>
  </si>
  <si>
    <t>伊勢国の太閤検地が行われる</t>
    <phoneticPr fontId="2"/>
  </si>
  <si>
    <t>沓掛村検地帳</t>
    <rPh sb="0" eb="2">
      <t>クツカケ</t>
    </rPh>
    <rPh sb="2" eb="3">
      <t>ムラ</t>
    </rPh>
    <rPh sb="3" eb="5">
      <t>ケンチ</t>
    </rPh>
    <phoneticPr fontId="2"/>
  </si>
  <si>
    <t>野尻村検地帳・木崎村検地帳</t>
    <rPh sb="0" eb="2">
      <t>ノジリ</t>
    </rPh>
    <rPh sb="2" eb="3">
      <t>ムラ</t>
    </rPh>
    <rPh sb="3" eb="6">
      <t>ケンチチョウ</t>
    </rPh>
    <rPh sb="7" eb="9">
      <t>キザキ</t>
    </rPh>
    <rPh sb="9" eb="10">
      <t>ムラ</t>
    </rPh>
    <rPh sb="10" eb="13">
      <t>ケンチチョウ</t>
    </rPh>
    <phoneticPr fontId="2"/>
  </si>
  <si>
    <t>文禄3</t>
  </si>
  <si>
    <t>豊臣秀吉、徳川家康、堀尾吉晴、岡本良勝に亀山市域を領地としてあたえる</t>
    <phoneticPr fontId="2"/>
  </si>
  <si>
    <t>関・川崎・野登・亀山</t>
    <rPh sb="0" eb="1">
      <t>セキ</t>
    </rPh>
    <rPh sb="2" eb="4">
      <t>カワサキ</t>
    </rPh>
    <rPh sb="5" eb="6">
      <t>ノ</t>
    </rPh>
    <rPh sb="6" eb="7">
      <t>ノボル</t>
    </rPh>
    <rPh sb="8" eb="10">
      <t>カメヤマ</t>
    </rPh>
    <phoneticPr fontId="2"/>
  </si>
  <si>
    <t>徳川家康宛豊臣秀吉朱印状（地蔵院文書）</t>
  </si>
  <si>
    <t>日本の歴史の中の亀山／近世の亀山／豊臣秀吉による統一事業と亀山市／豊臣秀吉が大名に与えた鈴鹿郡の村</t>
    <rPh sb="33" eb="35">
      <t>トヨトミ</t>
    </rPh>
    <rPh sb="35" eb="37">
      <t>ヒデヨシ</t>
    </rPh>
    <rPh sb="38" eb="40">
      <t>ダイミョウ</t>
    </rPh>
    <rPh sb="41" eb="42">
      <t>アタ</t>
    </rPh>
    <rPh sb="44" eb="46">
      <t>スズカ</t>
    </rPh>
    <rPh sb="46" eb="47">
      <t>グン</t>
    </rPh>
    <rPh sb="48" eb="49">
      <t>ムラ</t>
    </rPh>
    <phoneticPr fontId="2"/>
  </si>
  <si>
    <t>亀山のいいとこさがし／手紙や本／手紙や記録など／豊臣秀吉朱印状</t>
    <phoneticPr fontId="2"/>
  </si>
  <si>
    <t>文禄4</t>
  </si>
  <si>
    <t>豊臣秀吉、岡本良勝に亀山市域を領地としてあたえる（加増）</t>
    <rPh sb="0" eb="2">
      <t>トヨトミ</t>
    </rPh>
    <rPh sb="2" eb="4">
      <t>ヒデヨシ</t>
    </rPh>
    <rPh sb="25" eb="27">
      <t>カゾウ</t>
    </rPh>
    <phoneticPr fontId="2"/>
  </si>
  <si>
    <t>昼生</t>
    <rPh sb="0" eb="1">
      <t>ヒル</t>
    </rPh>
    <rPh sb="1" eb="2">
      <t>ナマ</t>
    </rPh>
    <phoneticPr fontId="2"/>
  </si>
  <si>
    <t>日本の歴史の中の亀山／近世の亀山／豊臣秀吉による統一事業と亀山市／豊臣秀吉が大名に与えた鈴鹿郡の村</t>
    <phoneticPr fontId="2"/>
  </si>
  <si>
    <t>慶長2</t>
  </si>
  <si>
    <t>慶長5</t>
  </si>
  <si>
    <t>関ヶ原の戦いがおこる</t>
  </si>
  <si>
    <t>日本の歴史の中の亀山／近世の亀山／江戸幕府の成立と鎖国／関ヶ原の戦いと岡本下野守</t>
    <rPh sb="17" eb="19">
      <t>エド</t>
    </rPh>
    <rPh sb="19" eb="21">
      <t>バクフ</t>
    </rPh>
    <rPh sb="22" eb="24">
      <t>セイリツ</t>
    </rPh>
    <rPh sb="25" eb="27">
      <t>サコク</t>
    </rPh>
    <rPh sb="28" eb="31">
      <t>セキガハラ</t>
    </rPh>
    <rPh sb="32" eb="33">
      <t>タタカ</t>
    </rPh>
    <rPh sb="35" eb="37">
      <t>オカモト</t>
    </rPh>
    <rPh sb="37" eb="39">
      <t>シモツケ</t>
    </rPh>
    <rPh sb="39" eb="40">
      <t>カミ</t>
    </rPh>
    <phoneticPr fontId="2"/>
  </si>
  <si>
    <t>http://kameyamarekihaku.jp/kodomo/w_e_b/rekishi/kinsei/edobakuhu/page001.html</t>
  </si>
  <si>
    <t>徳川家康、関地蔵院に止宿</t>
    <rPh sb="10" eb="11">
      <t>シ</t>
    </rPh>
    <phoneticPr fontId="2"/>
  </si>
  <si>
    <t>関町新所</t>
    <rPh sb="0" eb="2">
      <t>セキチョウ</t>
    </rPh>
    <phoneticPr fontId="2"/>
  </si>
  <si>
    <t>亀山のいいとこさがし／建物</t>
    <phoneticPr fontId="2"/>
  </si>
  <si>
    <t>『鈴鹿関町史』下巻年表
『亀山市史』史料編　古代中世</t>
    <rPh sb="13" eb="16">
      <t>カメヤマシ</t>
    </rPh>
    <rPh sb="16" eb="17">
      <t>シ</t>
    </rPh>
    <rPh sb="18" eb="20">
      <t>シリョウ</t>
    </rPh>
    <rPh sb="20" eb="21">
      <t>ヘン</t>
    </rPh>
    <rPh sb="22" eb="24">
      <t>コダイ</t>
    </rPh>
    <rPh sb="24" eb="26">
      <t>チュウセイ</t>
    </rPh>
    <phoneticPr fontId="2"/>
  </si>
  <si>
    <t>徳川家康が豊臣家との約束を破ったので、豊臣側は徳川家康に対して亀山城などに軍勢を入れる。また、岡本良勝は人質を進上する</t>
    <rPh sb="0" eb="2">
      <t>トクガワ</t>
    </rPh>
    <rPh sb="2" eb="4">
      <t>イエヤス</t>
    </rPh>
    <rPh sb="5" eb="8">
      <t>トヨトミケ</t>
    </rPh>
    <rPh sb="10" eb="12">
      <t>ヤクソク</t>
    </rPh>
    <rPh sb="13" eb="14">
      <t>ヤブ</t>
    </rPh>
    <rPh sb="19" eb="21">
      <t>トヨトミ</t>
    </rPh>
    <rPh sb="21" eb="22">
      <t>ガワ</t>
    </rPh>
    <rPh sb="31" eb="33">
      <t>カメヤマ</t>
    </rPh>
    <rPh sb="33" eb="34">
      <t>シロ</t>
    </rPh>
    <rPh sb="37" eb="39">
      <t>グンゼイ</t>
    </rPh>
    <rPh sb="40" eb="41">
      <t>イ</t>
    </rPh>
    <rPh sb="47" eb="49">
      <t>オカモト</t>
    </rPh>
    <rPh sb="49" eb="51">
      <t>ヨシカツ</t>
    </rPh>
    <rPh sb="52" eb="54">
      <t>ヒトジチ</t>
    </rPh>
    <rPh sb="55" eb="57">
      <t>シンジョウ</t>
    </rPh>
    <phoneticPr fontId="2"/>
  </si>
  <si>
    <t>亀山城</t>
    <phoneticPr fontId="2"/>
  </si>
  <si>
    <t>亀山城と宿場／安土桃山時代の亀山城主／岡本良勝の出身</t>
    <rPh sb="0" eb="3">
      <t>カメヤマジョウ</t>
    </rPh>
    <rPh sb="4" eb="7">
      <t>シュクバ・</t>
    </rPh>
    <rPh sb="7" eb="13">
      <t>アヅチモモヤマジダイ</t>
    </rPh>
    <rPh sb="14" eb="23">
      <t>カメヤマジョウシュ・オカモトヨシカツ</t>
    </rPh>
    <rPh sb="24" eb="26">
      <t>シュッシン</t>
    </rPh>
    <phoneticPr fontId="2"/>
  </si>
  <si>
    <t>『亀山市史』史料編 古代中世
『亀山市史』考古分野</t>
    <rPh sb="10" eb="12">
      <t>コダイ</t>
    </rPh>
    <rPh sb="12" eb="14">
      <t>チュウセイ</t>
    </rPh>
    <rPh sb="15" eb="25">
      <t>カ</t>
    </rPh>
    <phoneticPr fontId="2"/>
  </si>
  <si>
    <t>豊臣方の毛利輝元、吉川広家らの軍勢、伊勢に出陣し関地蔵に布陣する</t>
    <rPh sb="0" eb="2">
      <t>トヨトミ</t>
    </rPh>
    <rPh sb="2" eb="3">
      <t>カタ</t>
    </rPh>
    <rPh sb="4" eb="6">
      <t>モウリ</t>
    </rPh>
    <rPh sb="6" eb="8">
      <t>テルモト</t>
    </rPh>
    <rPh sb="9" eb="11">
      <t>キッカワ</t>
    </rPh>
    <rPh sb="11" eb="12">
      <t>ヒロ</t>
    </rPh>
    <rPh sb="12" eb="13">
      <t>イエ</t>
    </rPh>
    <rPh sb="15" eb="17">
      <t>グンゼイ</t>
    </rPh>
    <rPh sb="18" eb="20">
      <t>イセ</t>
    </rPh>
    <rPh sb="21" eb="23">
      <t>シュツジン</t>
    </rPh>
    <rPh sb="24" eb="25">
      <t>セキ</t>
    </rPh>
    <rPh sb="25" eb="27">
      <t>ジゾウ</t>
    </rPh>
    <rPh sb="28" eb="30">
      <t>フジン</t>
    </rPh>
    <phoneticPr fontId="2"/>
  </si>
  <si>
    <t>岡本良勝、桑名で自害する</t>
    <rPh sb="5" eb="7">
      <t>クワナ</t>
    </rPh>
    <phoneticPr fontId="2"/>
  </si>
  <si>
    <t>岡本良勝　</t>
    <phoneticPr fontId="2"/>
  </si>
  <si>
    <t>亀山城と宿場／亀山城と江戸幕府</t>
    <rPh sb="7" eb="10">
      <t>カメヤマジョウ</t>
    </rPh>
    <rPh sb="11" eb="13">
      <t>エド</t>
    </rPh>
    <rPh sb="13" eb="15">
      <t>バクフ</t>
    </rPh>
    <phoneticPr fontId="2"/>
  </si>
  <si>
    <t>http://kameyamarekihaku.jp/kodomo/w_e_b/syukuba/edobakufu/index.html</t>
  </si>
  <si>
    <t>『亀山市史』史料編 古代中世</t>
    <rPh sb="10" eb="12">
      <t>コダイ</t>
    </rPh>
    <rPh sb="12" eb="14">
      <t>チュウセイ</t>
    </rPh>
    <phoneticPr fontId="2"/>
  </si>
  <si>
    <t>関ヶ原の戦いに敗れた島津義久、関地蔵を経て薩摩に逃げる</t>
    <rPh sb="0" eb="3">
      <t>セキガハラ</t>
    </rPh>
    <rPh sb="4" eb="5">
      <t>タタカ</t>
    </rPh>
    <rPh sb="7" eb="8">
      <t>ヤブ</t>
    </rPh>
    <rPh sb="10" eb="12">
      <t>シマヅ</t>
    </rPh>
    <rPh sb="12" eb="14">
      <t>ヨシヒサ</t>
    </rPh>
    <rPh sb="15" eb="16">
      <t>セキ</t>
    </rPh>
    <rPh sb="16" eb="18">
      <t>ジゾウ</t>
    </rPh>
    <rPh sb="19" eb="20">
      <t>ヘ</t>
    </rPh>
    <rPh sb="21" eb="23">
      <t>サツマ</t>
    </rPh>
    <rPh sb="24" eb="25">
      <t>ニ</t>
    </rPh>
    <phoneticPr fontId="2"/>
  </si>
  <si>
    <t>関町木崎・関町新所</t>
    <rPh sb="0" eb="2">
      <t>セキチョウ</t>
    </rPh>
    <rPh sb="2" eb="4">
      <t>キザキ</t>
    </rPh>
    <rPh sb="5" eb="7">
      <t>セキチョウ</t>
    </rPh>
    <rPh sb="7" eb="8">
      <t>シン</t>
    </rPh>
    <rPh sb="8" eb="9">
      <t>ショ</t>
    </rPh>
    <phoneticPr fontId="2"/>
  </si>
  <si>
    <t>関地蔵</t>
    <rPh sb="0" eb="1">
      <t>セキ</t>
    </rPh>
    <rPh sb="1" eb="3">
      <t>ジゾウ</t>
    </rPh>
    <phoneticPr fontId="2"/>
  </si>
  <si>
    <t>島津義久</t>
    <rPh sb="0" eb="2">
      <t>シマヅ</t>
    </rPh>
    <rPh sb="2" eb="4">
      <t>ヨシヒサ</t>
    </rPh>
    <phoneticPr fontId="2"/>
  </si>
  <si>
    <t>『亀山市史』史料編 古代中世</t>
    <rPh sb="6" eb="8">
      <t>シリョウ</t>
    </rPh>
    <rPh sb="8" eb="9">
      <t>ヘン</t>
    </rPh>
    <phoneticPr fontId="2"/>
  </si>
  <si>
    <t>関一政亀山城主となる</t>
    <rPh sb="0" eb="1">
      <t>セキ</t>
    </rPh>
    <rPh sb="1" eb="3">
      <t>カズマサ</t>
    </rPh>
    <rPh sb="3" eb="5">
      <t>カメヤマ</t>
    </rPh>
    <rPh sb="5" eb="7">
      <t>ジョウシュ</t>
    </rPh>
    <phoneticPr fontId="2"/>
  </si>
  <si>
    <t>亀山城</t>
  </si>
  <si>
    <t>関一政</t>
    <phoneticPr fontId="2"/>
  </si>
  <si>
    <t>『亀山市史』通史　近世
『亀山市史』歴史分野　近世ページ亀山城主の移り変わり・年表</t>
    <rPh sb="0" eb="6">
      <t>「カメヤマシシ」</t>
    </rPh>
    <rPh sb="6" eb="8">
      <t>ツウシ</t>
    </rPh>
    <rPh sb="9" eb="11">
      <t>キンセイ</t>
    </rPh>
    <rPh sb="13" eb="16">
      <t>カメヤマシ</t>
    </rPh>
    <rPh sb="16" eb="17">
      <t>シ</t>
    </rPh>
    <rPh sb="18" eb="20">
      <t>レキシ</t>
    </rPh>
    <rPh sb="20" eb="22">
      <t>ブンヤ</t>
    </rPh>
    <rPh sb="23" eb="25">
      <t>キンセイ</t>
    </rPh>
    <phoneticPr fontId="2"/>
  </si>
  <si>
    <t>亀山城と宿場／江戸時代の亀山城主／関一政</t>
    <rPh sb="0" eb="3">
      <t>カメヤマジョウ</t>
    </rPh>
    <rPh sb="4" eb="7">
      <t>シュクバ・</t>
    </rPh>
    <rPh sb="7" eb="11">
      <t>エドジダイ</t>
    </rPh>
    <rPh sb="12" eb="20">
      <t>カメヤマジョウシュ・セキカズマサ</t>
    </rPh>
    <phoneticPr fontId="2"/>
  </si>
  <si>
    <t>日本の歴史の中の亀山／近世の亀山／江戸幕府の成立と鎖国／大名領地が定まるまでのようす</t>
    <rPh sb="17" eb="19">
      <t>エド</t>
    </rPh>
    <rPh sb="19" eb="21">
      <t>バクフ</t>
    </rPh>
    <rPh sb="22" eb="24">
      <t>セイリツ</t>
    </rPh>
    <rPh sb="25" eb="27">
      <t>サコク</t>
    </rPh>
    <rPh sb="28" eb="30">
      <t>ダイミョウ</t>
    </rPh>
    <rPh sb="30" eb="32">
      <t>リョウチ</t>
    </rPh>
    <rPh sb="33" eb="34">
      <t>サダ</t>
    </rPh>
    <phoneticPr fontId="2"/>
  </si>
  <si>
    <t>http://kameyamarekihaku.jp/kodomo/w_e_b/rekishi/kinsei/edobakuhu/page002.html</t>
  </si>
  <si>
    <t>江戸時代</t>
  </si>
  <si>
    <t>慶長6</t>
  </si>
  <si>
    <t>徳川家康、東海道伝馬制を制定、坂下・関地蔵・亀山に伝馬朱印状が下付される</t>
    <rPh sb="15" eb="17">
      <t>サカシタ</t>
    </rPh>
    <rPh sb="18" eb="19">
      <t>セキ</t>
    </rPh>
    <rPh sb="19" eb="21">
      <t>ジゾウ</t>
    </rPh>
    <rPh sb="22" eb="24">
      <t>カメヤマ</t>
    </rPh>
    <rPh sb="25" eb="27">
      <t>テンマ</t>
    </rPh>
    <rPh sb="27" eb="30">
      <t>シュインジョウ</t>
    </rPh>
    <rPh sb="31" eb="33">
      <t>カフ</t>
    </rPh>
    <phoneticPr fontId="2"/>
  </si>
  <si>
    <t>亀山西・関</t>
  </si>
  <si>
    <t>東海道名所細見記・東海道名所図会・伊勢参宮名所図会・関地蔵宛駒曳の朱印状（レプリカ）</t>
    <rPh sb="26" eb="27">
      <t>セキ</t>
    </rPh>
    <rPh sb="27" eb="29">
      <t>ジゾウ</t>
    </rPh>
    <rPh sb="29" eb="30">
      <t>アテ</t>
    </rPh>
    <rPh sb="30" eb="31">
      <t>コマ</t>
    </rPh>
    <rPh sb="31" eb="32">
      <t>ヒキ</t>
    </rPh>
    <rPh sb="33" eb="35">
      <t>シュイン</t>
    </rPh>
    <rPh sb="35" eb="36">
      <t>ジョウ</t>
    </rPh>
    <phoneticPr fontId="2"/>
  </si>
  <si>
    <t>むかしの道と交通／亀山の近世の道</t>
    <rPh sb="4" eb="5">
      <t>ミチ</t>
    </rPh>
    <rPh sb="6" eb="8">
      <t>コウツウ</t>
    </rPh>
    <rPh sb="9" eb="11">
      <t>カメヤマ</t>
    </rPh>
    <rPh sb="12" eb="14">
      <t>キンセイ</t>
    </rPh>
    <rPh sb="15" eb="16">
      <t>ミチ</t>
    </rPh>
    <phoneticPr fontId="2"/>
  </si>
  <si>
    <t>『亀山市史』通史編 近世
『亀山市史』歴史分野　近世ページ
『亀山市史』歴史分野
館蔵資料提供による授業実践例〜亀中2年「東海道と亀山宿」</t>
    <rPh sb="14" eb="17">
      <t>カメヤマシ</t>
    </rPh>
    <rPh sb="17" eb="18">
      <t>シ</t>
    </rPh>
    <rPh sb="19" eb="21">
      <t>レキシ</t>
    </rPh>
    <rPh sb="21" eb="23">
      <t>ブンヤ</t>
    </rPh>
    <rPh sb="24" eb="26">
      <t>キンセイ</t>
    </rPh>
    <rPh sb="31" eb="34">
      <t>カメヤマシ</t>
    </rPh>
    <rPh sb="34" eb="35">
      <t>シ</t>
    </rPh>
    <rPh sb="36" eb="38">
      <t>レキシ</t>
    </rPh>
    <rPh sb="38" eb="40">
      <t>ブンヤ</t>
    </rPh>
    <rPh sb="41" eb="43">
      <t>カンゾウ</t>
    </rPh>
    <rPh sb="43" eb="45">
      <t>シリョウ</t>
    </rPh>
    <rPh sb="45" eb="47">
      <t>テイキョウ</t>
    </rPh>
    <rPh sb="50" eb="52">
      <t>ジュギョウ</t>
    </rPh>
    <rPh sb="52" eb="54">
      <t>ジッセン</t>
    </rPh>
    <rPh sb="54" eb="55">
      <t>レイ</t>
    </rPh>
    <phoneticPr fontId="2"/>
  </si>
  <si>
    <t>亀山城と宿場／宿場町とは何でしょう／徳川家康の街道整備</t>
  </si>
  <si>
    <t>http://kameyamarekihaku.jp/kodomo/w_e_b/syukuba/syukubamachi/page001.html</t>
  </si>
  <si>
    <t>日本の歴史の中の亀山／近世の亀山／江戸幕府の成立と鎖国／徳川家康の五街道整備と東海道</t>
    <phoneticPr fontId="2"/>
  </si>
  <si>
    <t>http://kameyamarekihaku.jp/kodomo/w_e_b/rekishi/kinsei/edobakuhu/page004.html</t>
  </si>
  <si>
    <t>日本の歴史の中の亀山／近世の亀山／農業や諸産業の発達／亀山市域にみる江戸時代の街道</t>
    <phoneticPr fontId="2"/>
  </si>
  <si>
    <t>http://kameyamarekihaku.jp/kodomo/w_e_b/rekishi/kinsei/nougyou/page003.html</t>
  </si>
  <si>
    <t>坂下宿</t>
    <phoneticPr fontId="2"/>
  </si>
  <si>
    <t>日本の歴史の中の亀山／近世の亀山／街道の宿場町を歩く</t>
    <phoneticPr fontId="2"/>
  </si>
  <si>
    <t>http://kameyamarekihaku.jp/kodomo/w_e_b/rekishi/kinsei/syukubamachi/index.html</t>
  </si>
  <si>
    <t>亀山のいいとこさがし／景色のよいところや歴史を知る手掛かりとなるもの／歴史上の場所／野村一里塚</t>
    <rPh sb="42" eb="47">
      <t>ノムライチリヅカ</t>
    </rPh>
    <phoneticPr fontId="2"/>
  </si>
  <si>
    <t>http://kameyamarekihaku.jp/kodomo/w_e_b/iitoko/tegakari/basyo/page008.html</t>
  </si>
  <si>
    <t>慶長8</t>
    <phoneticPr fontId="2"/>
  </si>
  <si>
    <t>徳川家康が征夷大将軍になり、江戸に幕府を開く</t>
    <rPh sb="3" eb="4">
      <t>ヤス</t>
    </rPh>
    <rPh sb="5" eb="7">
      <t>セイイ</t>
    </rPh>
    <rPh sb="7" eb="10">
      <t>タイショウグン</t>
    </rPh>
    <phoneticPr fontId="2"/>
  </si>
  <si>
    <t>『亀山市史』通史　近世</t>
    <rPh sb="0" eb="11">
      <t>キ</t>
    </rPh>
    <phoneticPr fontId="2"/>
  </si>
  <si>
    <t>慶長9</t>
  </si>
  <si>
    <t>野村、和田、木崎など東海道に一里塚が築かれる</t>
  </si>
  <si>
    <t>亀山西・</t>
    <phoneticPr fontId="2"/>
  </si>
  <si>
    <t>野村・</t>
    <phoneticPr fontId="2"/>
  </si>
  <si>
    <t>東海道名所細見記・東海道名所図会・伊勢参宮名所図会</t>
  </si>
  <si>
    <t>野村一里塚</t>
    <rPh sb="0" eb="5">
      <t>ノムライチリヅカ</t>
    </rPh>
    <phoneticPr fontId="2"/>
  </si>
  <si>
    <t>むかしの道と交通／亀山の近世の道／一里塚</t>
    <phoneticPr fontId="2"/>
  </si>
  <si>
    <t>http://kameyamarekihaku.jp/kodomo/w_e_b/michi/kinsei/page001.html</t>
  </si>
  <si>
    <t>『亀山市史』通史　近世
『亀山市史』考古分野</t>
    <rPh sb="0" eb="6">
      <t>「カメヤマシシ」</t>
    </rPh>
    <rPh sb="6" eb="8">
      <t>ツウシ</t>
    </rPh>
    <rPh sb="9" eb="11">
      <t>キンセイ</t>
    </rPh>
    <rPh sb="13" eb="16">
      <t>カメヤマシ</t>
    </rPh>
    <rPh sb="16" eb="17">
      <t>シ</t>
    </rPh>
    <rPh sb="18" eb="20">
      <t>コウコ</t>
    </rPh>
    <rPh sb="20" eb="22">
      <t>ブンヤ</t>
    </rPh>
    <phoneticPr fontId="2"/>
  </si>
  <si>
    <t>井田川・</t>
    <phoneticPr fontId="2"/>
  </si>
  <si>
    <t>和田町・</t>
    <phoneticPr fontId="2"/>
  </si>
  <si>
    <t>和田一里塚・</t>
    <phoneticPr fontId="2"/>
  </si>
  <si>
    <t>和田一里塚</t>
    <rPh sb="0" eb="2">
      <t>ワダ</t>
    </rPh>
    <rPh sb="2" eb="5">
      <t>イチリヅカ</t>
    </rPh>
    <phoneticPr fontId="2"/>
  </si>
  <si>
    <t>亀山城と宿場／宿場町とは何でしょう／徳川家康の街道整備</t>
    <rPh sb="0" eb="3">
      <t>カメヤマジョウ</t>
    </rPh>
    <rPh sb="4" eb="7">
      <t>シュクバ・</t>
    </rPh>
    <rPh sb="7" eb="9">
      <t>シュクバ</t>
    </rPh>
    <rPh sb="9" eb="10">
      <t>マチ</t>
    </rPh>
    <rPh sb="12" eb="13">
      <t>ナン</t>
    </rPh>
    <rPh sb="18" eb="20">
      <t>トクガワ</t>
    </rPh>
    <rPh sb="20" eb="22">
      <t>イエヤス</t>
    </rPh>
    <rPh sb="23" eb="25">
      <t>カイドウ</t>
    </rPh>
    <rPh sb="25" eb="27">
      <t>セイビ</t>
    </rPh>
    <phoneticPr fontId="2"/>
  </si>
  <si>
    <t>関</t>
    <phoneticPr fontId="2"/>
  </si>
  <si>
    <t>関町木崎</t>
    <phoneticPr fontId="2"/>
  </si>
  <si>
    <t>木崎一里塚</t>
    <phoneticPr fontId="2"/>
  </si>
  <si>
    <t>木崎一里塚</t>
    <rPh sb="0" eb="2">
      <t>キザキ</t>
    </rPh>
    <rPh sb="2" eb="4">
      <t>イチリ</t>
    </rPh>
    <rPh sb="4" eb="5">
      <t>ツカ</t>
    </rPh>
    <phoneticPr fontId="2"/>
  </si>
  <si>
    <t>日本の歴史の中の亀山／近世の亀山／江戸幕府の成立と鎖国／徳川家康の五街道整備と東海道</t>
    <rPh sb="28" eb="30">
      <t>トクガワ</t>
    </rPh>
    <rPh sb="30" eb="32">
      <t>イエヤス</t>
    </rPh>
    <rPh sb="33" eb="34">
      <t>５</t>
    </rPh>
    <rPh sb="34" eb="36">
      <t>カイドウ</t>
    </rPh>
    <rPh sb="36" eb="38">
      <t>セイビ</t>
    </rPh>
    <rPh sb="39" eb="42">
      <t>トウカイドウ</t>
    </rPh>
    <phoneticPr fontId="2"/>
  </si>
  <si>
    <t>日本の歴史の中の亀山／近世の亀山／農業や諸産業の発達／亀山市域にみる江戸時代の街道</t>
    <rPh sb="27" eb="30">
      <t>カメヤマシ</t>
    </rPh>
    <rPh sb="30" eb="31">
      <t>イキ</t>
    </rPh>
    <rPh sb="34" eb="36">
      <t>エド</t>
    </rPh>
    <rPh sb="36" eb="38">
      <t>ジダイ</t>
    </rPh>
    <rPh sb="39" eb="41">
      <t>カイドウ</t>
    </rPh>
    <phoneticPr fontId="2"/>
  </si>
  <si>
    <t>亀山のいいとこさがし／景色のよいところや歴史を知る手掛かりとなるもの／歴史上の場所／野村一里塚</t>
    <phoneticPr fontId="2"/>
  </si>
  <si>
    <r>
      <t>慶長1</t>
    </r>
    <r>
      <rPr>
        <sz val="11"/>
        <rFont val="ＭＳ Ｐゴシック"/>
        <family val="3"/>
        <charset val="128"/>
      </rPr>
      <t>0</t>
    </r>
    <phoneticPr fontId="2"/>
  </si>
  <si>
    <t>徳川家康京都より途次、亀山に止宿する</t>
    <rPh sb="3" eb="4">
      <t>ヤス</t>
    </rPh>
    <rPh sb="4" eb="6">
      <t>キョウト</t>
    </rPh>
    <rPh sb="8" eb="9">
      <t>ト</t>
    </rPh>
    <rPh sb="9" eb="10">
      <t>ツギ</t>
    </rPh>
    <rPh sb="11" eb="13">
      <t>カメヤマ</t>
    </rPh>
    <rPh sb="14" eb="15">
      <t>シ</t>
    </rPh>
    <rPh sb="15" eb="16">
      <t>ジュク</t>
    </rPh>
    <phoneticPr fontId="2"/>
  </si>
  <si>
    <t>徳川家康</t>
    <rPh sb="0" eb="2">
      <t>トクガワ</t>
    </rPh>
    <rPh sb="2" eb="4">
      <t>イエヤス</t>
    </rPh>
    <phoneticPr fontId="2"/>
  </si>
  <si>
    <t>亀山城と宿場／亀山城と江戸幕府／亀山城に泊まった将軍／徳川家康</t>
    <rPh sb="27" eb="29">
      <t>トクガワ</t>
    </rPh>
    <rPh sb="29" eb="31">
      <t>イエヤス</t>
    </rPh>
    <phoneticPr fontId="2"/>
  </si>
  <si>
    <t>http://kameyamarekihaku.jp/kodomo/w_e_b/syukuba/edobakufu/syogun/page001.html</t>
  </si>
  <si>
    <t>『亀山市史』歴史分野　近世ページ　年表</t>
    <rPh sb="1" eb="4">
      <t>カメヤマシ</t>
    </rPh>
    <rPh sb="4" eb="5">
      <t>シ</t>
    </rPh>
    <rPh sb="6" eb="8">
      <t>レキシ</t>
    </rPh>
    <rPh sb="8" eb="10">
      <t>ブンヤ</t>
    </rPh>
    <rPh sb="11" eb="13">
      <t>キンセイ</t>
    </rPh>
    <rPh sb="17" eb="19">
      <t>ネンピョウ</t>
    </rPh>
    <phoneticPr fontId="2"/>
  </si>
  <si>
    <t>慶長15</t>
  </si>
  <si>
    <t>亀山城の修築がおこなわれる
松平忠明、亀山城主になる</t>
    <phoneticPr fontId="2"/>
  </si>
  <si>
    <t>本丸町</t>
    <rPh sb="0" eb="3">
      <t>ホンマルチョウ</t>
    </rPh>
    <phoneticPr fontId="2"/>
  </si>
  <si>
    <t>亀山城</t>
    <phoneticPr fontId="2"/>
  </si>
  <si>
    <t>松平忠明</t>
  </si>
  <si>
    <t>亀山城と宿場／亀山城のつくり</t>
  </si>
  <si>
    <t>『亀山地方郷土史』第一巻P.386
『亀山市史』通史 　近世
『亀山市史』歴史分野　近世ページ亀山城主の移り変わり・年表</t>
    <rPh sb="24" eb="26">
      <t>ツウシ</t>
    </rPh>
    <rPh sb="28" eb="30">
      <t>キンセイ</t>
    </rPh>
    <phoneticPr fontId="2"/>
  </si>
  <si>
    <t>亀山城と宿場／江戸時代の亀山城主／松平忠明（奥平）</t>
    <rPh sb="0" eb="3">
      <t>カメヤマジョウ</t>
    </rPh>
    <rPh sb="4" eb="7">
      <t>シュクバ・</t>
    </rPh>
    <rPh sb="7" eb="11">
      <t>エドジダイ</t>
    </rPh>
    <rPh sb="12" eb="17">
      <t>カメヤマジョウシュ・</t>
    </rPh>
    <rPh sb="17" eb="19">
      <t>マツダイラ</t>
    </rPh>
    <rPh sb="19" eb="20">
      <t>タダ</t>
    </rPh>
    <rPh sb="20" eb="21">
      <t>アキラ</t>
    </rPh>
    <rPh sb="22" eb="24">
      <t>オクダイラ</t>
    </rPh>
    <phoneticPr fontId="2"/>
  </si>
  <si>
    <t>http://kameyamarekihaku.jp/kodomo/w_e_b/syukuba/joushu-edo/page003.html</t>
  </si>
  <si>
    <t>東南アジアに日本町が栄える</t>
  </si>
  <si>
    <t>慶長17</t>
  </si>
  <si>
    <t>幕領ではキリスト教を禁止する</t>
  </si>
  <si>
    <t>慶長19</t>
    <rPh sb="0" eb="2">
      <t>ケイチョウ</t>
    </rPh>
    <phoneticPr fontId="2"/>
  </si>
  <si>
    <t>石川忠総、大坂に出陣、川中で戦う兵士のために「川浸り餅」を配る</t>
    <rPh sb="0" eb="2">
      <t>イシカワ</t>
    </rPh>
    <rPh sb="2" eb="3">
      <t>チュウ</t>
    </rPh>
    <rPh sb="3" eb="4">
      <t>ソウ</t>
    </rPh>
    <rPh sb="5" eb="7">
      <t>オオサカ</t>
    </rPh>
    <rPh sb="8" eb="10">
      <t>シュツジン</t>
    </rPh>
    <rPh sb="11" eb="12">
      <t>カワ</t>
    </rPh>
    <rPh sb="12" eb="13">
      <t>ナカ</t>
    </rPh>
    <rPh sb="14" eb="15">
      <t>タタカ</t>
    </rPh>
    <rPh sb="16" eb="18">
      <t>ヘイシ</t>
    </rPh>
    <rPh sb="23" eb="24">
      <t>カワ</t>
    </rPh>
    <rPh sb="24" eb="25">
      <t>ヒタ</t>
    </rPh>
    <rPh sb="26" eb="27">
      <t>モチ</t>
    </rPh>
    <rPh sb="29" eb="30">
      <t>クバ</t>
    </rPh>
    <phoneticPr fontId="2"/>
  </si>
  <si>
    <t>石川忠総</t>
    <rPh sb="0" eb="2">
      <t>イシカワ</t>
    </rPh>
    <phoneticPr fontId="2"/>
  </si>
  <si>
    <t>石川忠総所用具足
川浸り餅（レプリカ）
川浸り餅包装紙</t>
    <rPh sb="9" eb="10">
      <t>カワ</t>
    </rPh>
    <rPh sb="10" eb="11">
      <t>ヒタ</t>
    </rPh>
    <rPh sb="12" eb="13">
      <t>モチ</t>
    </rPh>
    <rPh sb="24" eb="27">
      <t>ホウソウシ</t>
    </rPh>
    <phoneticPr fontId="2"/>
  </si>
  <si>
    <t>亀山のむかしばなし／おもしろいおはなし／川浸り餅</t>
    <rPh sb="0" eb="2">
      <t>カメヤマ</t>
    </rPh>
    <rPh sb="20" eb="21">
      <t>カワ</t>
    </rPh>
    <rPh sb="21" eb="22">
      <t>ヒタ</t>
    </rPh>
    <rPh sb="23" eb="24">
      <t>モチ</t>
    </rPh>
    <phoneticPr fontId="2"/>
  </si>
  <si>
    <t>http://kameyamarekihaku.jp/kodomo/w_e_b/hanashi/omoshiroi/page017.html</t>
  </si>
  <si>
    <t xml:space="preserve">『亀山地方郷土史』第二巻
</t>
    <rPh sb="10" eb="11">
      <t>2</t>
    </rPh>
    <phoneticPr fontId="2"/>
  </si>
  <si>
    <t>大阪冬の陣がおこる</t>
    <rPh sb="0" eb="2">
      <t>オオサカ</t>
    </rPh>
    <rPh sb="2" eb="3">
      <t>フユ</t>
    </rPh>
    <rPh sb="4" eb="5">
      <t>ジン</t>
    </rPh>
    <phoneticPr fontId="2"/>
  </si>
  <si>
    <t>松平忠明、大坂に出陣</t>
    <rPh sb="0" eb="2">
      <t>マツダイラ</t>
    </rPh>
    <rPh sb="2" eb="4">
      <t>タダアキ</t>
    </rPh>
    <rPh sb="5" eb="7">
      <t>オオサカ</t>
    </rPh>
    <rPh sb="8" eb="10">
      <t>シュツジン</t>
    </rPh>
    <phoneticPr fontId="2"/>
  </si>
  <si>
    <t>松平忠明</t>
    <rPh sb="0" eb="2">
      <t>マツダイラ</t>
    </rPh>
    <rPh sb="2" eb="4">
      <t>タダアキ</t>
    </rPh>
    <phoneticPr fontId="2"/>
  </si>
  <si>
    <t>亀山城と宿場／江戸時代の亀山城主／松平忠明（奥平）</t>
    <phoneticPr fontId="2"/>
  </si>
  <si>
    <t>元和元</t>
  </si>
  <si>
    <t>大阪夏の陣がおこる
豊臣氏ほろびる</t>
    <rPh sb="0" eb="2">
      <t>オオサカ</t>
    </rPh>
    <rPh sb="2" eb="3">
      <t>ナツ</t>
    </rPh>
    <rPh sb="4" eb="5">
      <t>ジン</t>
    </rPh>
    <phoneticPr fontId="2"/>
  </si>
  <si>
    <t>徳川家康、大坂に出陣のため亀山城に止宿
松平忠明、摂津国（大坂）へ転封</t>
    <rPh sb="17" eb="18">
      <t>シ</t>
    </rPh>
    <rPh sb="18" eb="19">
      <t>ジュク</t>
    </rPh>
    <rPh sb="29" eb="31">
      <t>オオサカ</t>
    </rPh>
    <phoneticPr fontId="2"/>
  </si>
  <si>
    <t>亀山城</t>
    <phoneticPr fontId="2"/>
  </si>
  <si>
    <t>松平忠明</t>
    <phoneticPr fontId="2"/>
  </si>
  <si>
    <t>亀山城と宿場／亀山城のつくり／本丸</t>
    <rPh sb="15" eb="17">
      <t>ホンマル</t>
    </rPh>
    <phoneticPr fontId="2"/>
  </si>
  <si>
    <t>http://kameyamarekihaku.jp/kodomo/w_e_b/syukuba/tsukuri/page003.html</t>
  </si>
  <si>
    <t>亀山城と宿場／亀山城のつくり／門／青木門</t>
    <rPh sb="17" eb="19">
      <t>アオキ</t>
    </rPh>
    <rPh sb="19" eb="20">
      <t>モン</t>
    </rPh>
    <phoneticPr fontId="2"/>
  </si>
  <si>
    <t>http://kameyamarekihaku.jp/kodomo/w_e_b/syukuba/tsukuri/mon/page002.html</t>
  </si>
  <si>
    <t>日本の歴史の中の亀山／近世の亀山／江戸幕府の成立と鎖国／将軍上洛と亀山城</t>
    <rPh sb="28" eb="30">
      <t>ショウグン</t>
    </rPh>
    <rPh sb="30" eb="32">
      <t>ジョウラク</t>
    </rPh>
    <rPh sb="33" eb="36">
      <t>カメヤマジョウ</t>
    </rPh>
    <phoneticPr fontId="2"/>
  </si>
  <si>
    <t>http://kameyamarekihaku.jp/kodomo/w_e_b/rekishi/kinsei/edobakuhu/page005.html</t>
  </si>
  <si>
    <t>八幡社が羽若から江ヶ室へ遷座する</t>
  </si>
  <si>
    <t>羽若町・江ヶ室</t>
    <rPh sb="2" eb="3">
      <t>チョウ</t>
    </rPh>
    <phoneticPr fontId="2"/>
  </si>
  <si>
    <t xml:space="preserve">『亀山地方郷土史』第一巻
『亀山市史』通史　近世
</t>
    <rPh sb="13" eb="24">
      <t>キ</t>
    </rPh>
    <phoneticPr fontId="2"/>
  </si>
  <si>
    <t>加太村・古馬屋村・福徳村・萩原村・田茂村・安知本村・三寺村・中庄村・下庄村・楠平尾村が津領となる</t>
    <rPh sb="2" eb="3">
      <t>ムラ</t>
    </rPh>
    <rPh sb="5" eb="6">
      <t>ウマ</t>
    </rPh>
    <rPh sb="6" eb="7">
      <t>ヤ</t>
    </rPh>
    <rPh sb="7" eb="8">
      <t>ムラ</t>
    </rPh>
    <rPh sb="9" eb="11">
      <t>フクトク</t>
    </rPh>
    <rPh sb="11" eb="12">
      <t>ムラ</t>
    </rPh>
    <rPh sb="13" eb="15">
      <t>ハギワラ</t>
    </rPh>
    <rPh sb="15" eb="16">
      <t>ムラ</t>
    </rPh>
    <phoneticPr fontId="2"/>
  </si>
  <si>
    <t>加太・関・亀山南・昼生</t>
    <rPh sb="0" eb="2">
      <t>カブト</t>
    </rPh>
    <rPh sb="3" eb="4">
      <t>セキ</t>
    </rPh>
    <rPh sb="5" eb="7">
      <t>カメヤマ</t>
    </rPh>
    <rPh sb="7" eb="8">
      <t>ミナミ</t>
    </rPh>
    <rPh sb="9" eb="11">
      <t>ヒルオ</t>
    </rPh>
    <phoneticPr fontId="2"/>
  </si>
  <si>
    <t>加太・関町古厩・関町福徳・関町萩原・田茂町・安知本町・三寺町・中庄町・下庄町・楠平尾町</t>
    <rPh sb="5" eb="7">
      <t>フルマヤ</t>
    </rPh>
    <rPh sb="18" eb="20">
      <t>タモ</t>
    </rPh>
    <rPh sb="20" eb="21">
      <t>チョウ</t>
    </rPh>
    <rPh sb="25" eb="26">
      <t>チョウ</t>
    </rPh>
    <rPh sb="29" eb="30">
      <t>チョウ</t>
    </rPh>
    <rPh sb="33" eb="34">
      <t>チョウ</t>
    </rPh>
    <rPh sb="37" eb="38">
      <t>チョウ</t>
    </rPh>
    <rPh sb="42" eb="43">
      <t>チョウ</t>
    </rPh>
    <phoneticPr fontId="2"/>
  </si>
  <si>
    <t>『鈴鹿関町史』下巻年表
『亀山市史』歴史分野 町名の歴史
『三重県の地名』　　
『亀山市史』歴史分野　近世ページ亀山城主の移り変わり・年表</t>
    <rPh sb="1" eb="3">
      <t>スズカ</t>
    </rPh>
    <rPh sb="3" eb="5">
      <t>セキチョウ</t>
    </rPh>
    <rPh sb="5" eb="6">
      <t>シ</t>
    </rPh>
    <rPh sb="7" eb="9">
      <t>ゲカン</t>
    </rPh>
    <rPh sb="9" eb="11">
      <t>ネンピョウ</t>
    </rPh>
    <rPh sb="13" eb="16">
      <t>カメヤマシ</t>
    </rPh>
    <rPh sb="16" eb="17">
      <t>シ</t>
    </rPh>
    <rPh sb="18" eb="20">
      <t>レキシ</t>
    </rPh>
    <rPh sb="20" eb="22">
      <t>ブンヤ</t>
    </rPh>
    <rPh sb="23" eb="25">
      <t>チョウメイ</t>
    </rPh>
    <rPh sb="26" eb="28">
      <t>レキシ</t>
    </rPh>
    <rPh sb="30" eb="33">
      <t>ミエケン</t>
    </rPh>
    <rPh sb="34" eb="36">
      <t>チメイ</t>
    </rPh>
    <phoneticPr fontId="2"/>
  </si>
  <si>
    <t>武士の政治のしくみが整う、大名が守るべき決まりが出来る(幕府と藩の政治)　武家諸法度、禁中並公家諸法度</t>
    <rPh sb="25" eb="26">
      <t>キ</t>
    </rPh>
    <rPh sb="37" eb="42">
      <t>ブケショハット</t>
    </rPh>
    <rPh sb="43" eb="45">
      <t>キンチュウ</t>
    </rPh>
    <rPh sb="45" eb="46">
      <t>ナラ</t>
    </rPh>
    <rPh sb="46" eb="48">
      <t>クゲ</t>
    </rPh>
    <rPh sb="48" eb="51">
      <t>ショハット</t>
    </rPh>
    <phoneticPr fontId="2"/>
  </si>
  <si>
    <t>日本の歴史の中の亀山／近世の亀山／江戸幕府の成立と鎖国／武家諸法度</t>
    <rPh sb="28" eb="33">
      <t>ブケショハット</t>
    </rPh>
    <phoneticPr fontId="2"/>
  </si>
  <si>
    <t>http://kameyamarekihaku.jp/kodomo/w_e_b/rekishi/kinsei/edobakuhu/page003.html</t>
  </si>
  <si>
    <t>四日市代官水谷九左衛門、亀山を管轄する</t>
    <phoneticPr fontId="2"/>
  </si>
  <si>
    <t>水谷九左衛門</t>
  </si>
  <si>
    <t>亀山城と宿場／江戸時代の亀山城主／代官水谷九左衛門</t>
    <rPh sb="17" eb="19">
      <t>ダイカン</t>
    </rPh>
    <rPh sb="19" eb="21">
      <t>ミズタニ</t>
    </rPh>
    <rPh sb="21" eb="22">
      <t>キュウ</t>
    </rPh>
    <rPh sb="22" eb="23">
      <t>サ</t>
    </rPh>
    <rPh sb="23" eb="25">
      <t>エモン</t>
    </rPh>
    <phoneticPr fontId="2"/>
  </si>
  <si>
    <t>http://kameyamarekihaku.jp/kodomo/w_e_b/syukuba/joushu-edo/page004.html</t>
  </si>
  <si>
    <t>『亀山市史』歴史分野 近世ページ 亀山城主の移り変わり・年表</t>
    <rPh sb="6" eb="8">
      <t>レキシ</t>
    </rPh>
    <rPh sb="8" eb="10">
      <t>ブンヤ</t>
    </rPh>
    <phoneticPr fontId="2"/>
  </si>
  <si>
    <t>元和2</t>
  </si>
  <si>
    <t>永源寺が火災にあう</t>
  </si>
  <si>
    <t>安坂山町</t>
    <rPh sb="0" eb="1">
      <t>アン</t>
    </rPh>
    <rPh sb="1" eb="2">
      <t>サカ</t>
    </rPh>
    <rPh sb="2" eb="3">
      <t>ヤマ</t>
    </rPh>
    <rPh sb="3" eb="4">
      <t>チョウ</t>
    </rPh>
    <phoneticPr fontId="2"/>
  </si>
  <si>
    <t>永源寺</t>
  </si>
  <si>
    <t>『亀山地方郷土史』第一巻</t>
    <phoneticPr fontId="2"/>
  </si>
  <si>
    <t>林羅山、鈴鹿郡を巡行し、『丙辰紀行』を著す</t>
    <phoneticPr fontId="2"/>
  </si>
  <si>
    <t>林羅山</t>
  </si>
  <si>
    <t>古典に出てくる亀山／旅／江戸時代の旅人</t>
    <rPh sb="0" eb="2">
      <t>コテン</t>
    </rPh>
    <rPh sb="3" eb="4">
      <t>デ</t>
    </rPh>
    <rPh sb="7" eb="11">
      <t>カメヤマ・タビ</t>
    </rPh>
    <rPh sb="12" eb="14">
      <t>エド</t>
    </rPh>
    <rPh sb="14" eb="16">
      <t>ジダイ</t>
    </rPh>
    <rPh sb="17" eb="19">
      <t>タビビト</t>
    </rPh>
    <phoneticPr fontId="2"/>
  </si>
  <si>
    <t>http://kameyamarekihaku.jp/kodomo/w_e_b/koten/tabi/page004.html</t>
  </si>
  <si>
    <t>『亀山地方郷土史』第一巻
『丙辰紀行』</t>
    <rPh sb="14" eb="19">
      <t>ヘイシンキコウ」</t>
    </rPh>
    <phoneticPr fontId="2"/>
  </si>
  <si>
    <t>元和5</t>
  </si>
  <si>
    <t>三宅康信、亀山城主になる</t>
  </si>
  <si>
    <t>三宅康信</t>
  </si>
  <si>
    <t>亀山城と宿場／江戸時代の亀山城主／三宅康信・康盛</t>
    <rPh sb="17" eb="19">
      <t>ミヤケ</t>
    </rPh>
    <rPh sb="19" eb="21">
      <t>ヤスノブ</t>
    </rPh>
    <rPh sb="22" eb="23">
      <t>ヤス</t>
    </rPh>
    <rPh sb="23" eb="24">
      <t>モリ</t>
    </rPh>
    <phoneticPr fontId="2"/>
  </si>
  <si>
    <t>http://kameyamarekihaku.jp/kodomo/w_e_b/syukuba/joushu-edo/page005.html</t>
  </si>
  <si>
    <t>『亀山地方郷土史』第一巻
『亀山市史』歴史分野　近世ページ亀山城主の移り変わり・年表</t>
    <phoneticPr fontId="2"/>
  </si>
  <si>
    <t>元和6</t>
  </si>
  <si>
    <t>徳川和子、後水尾天皇に入内のため亀山城に止泊、三宅康信饗応する
徳川和子饗応の労により2000石加増される</t>
    <rPh sb="32" eb="34">
      <t>トクガワ</t>
    </rPh>
    <rPh sb="34" eb="36">
      <t>カズコ</t>
    </rPh>
    <rPh sb="36" eb="38">
      <t>キョウオウ</t>
    </rPh>
    <rPh sb="39" eb="40">
      <t>ロウ</t>
    </rPh>
    <rPh sb="47" eb="48">
      <t>イシ</t>
    </rPh>
    <rPh sb="48" eb="50">
      <t>カゾウ</t>
    </rPh>
    <phoneticPr fontId="2"/>
  </si>
  <si>
    <t>徳川和子（東福門院）
三宅康信</t>
    <rPh sb="0" eb="2">
      <t>トクガワ</t>
    </rPh>
    <rPh sb="2" eb="4">
      <t>カズコ</t>
    </rPh>
    <rPh sb="5" eb="6">
      <t>ヒガシ</t>
    </rPh>
    <rPh sb="6" eb="7">
      <t>フク</t>
    </rPh>
    <rPh sb="7" eb="8">
      <t>モン</t>
    </rPh>
    <rPh sb="8" eb="9">
      <t>イン</t>
    </rPh>
    <rPh sb="11" eb="13">
      <t>ミヤケ</t>
    </rPh>
    <rPh sb="13" eb="14">
      <t>ヤス</t>
    </rPh>
    <rPh sb="14" eb="15">
      <t>シン</t>
    </rPh>
    <phoneticPr fontId="2"/>
  </si>
  <si>
    <t>『徳川実紀』</t>
    <rPh sb="1" eb="3">
      <t>トクガワ</t>
    </rPh>
    <rPh sb="3" eb="5">
      <t>ミキ</t>
    </rPh>
    <phoneticPr fontId="2"/>
  </si>
  <si>
    <t>亀山城と宿場／亀山城と江戸幕府／徳川和子の婚礼行列</t>
    <rPh sb="16" eb="18">
      <t>トクガワ</t>
    </rPh>
    <rPh sb="18" eb="20">
      <t>カズコ</t>
    </rPh>
    <rPh sb="21" eb="23">
      <t>コンレイ</t>
    </rPh>
    <rPh sb="23" eb="25">
      <t>ギョウレツ</t>
    </rPh>
    <phoneticPr fontId="2"/>
  </si>
  <si>
    <t>http://kameyamarekihaku.jp/kodomo/w_e_b/syukuba/edobakufu/page002.html</t>
  </si>
  <si>
    <t>日本の歴史の中の亀山／近世の亀山／江戸幕府の成立と鎖国／将軍上洛と亀山城</t>
    <phoneticPr fontId="2"/>
  </si>
  <si>
    <t>元和7</t>
  </si>
  <si>
    <t>●</t>
    <phoneticPr fontId="2"/>
  </si>
  <si>
    <t>小堀遠州、上洛の途中、亀山から関の地蔵を経て坂下に宿泊する</t>
    <rPh sb="5" eb="7">
      <t>ジョウラク</t>
    </rPh>
    <rPh sb="8" eb="10">
      <t>トチュウ</t>
    </rPh>
    <rPh sb="20" eb="21">
      <t>ヘ</t>
    </rPh>
    <phoneticPr fontId="2"/>
  </si>
  <si>
    <t>関町坂下</t>
    <phoneticPr fontId="2"/>
  </si>
  <si>
    <t>坂下宿</t>
    <phoneticPr fontId="2"/>
  </si>
  <si>
    <t>小堀遠州</t>
  </si>
  <si>
    <t>亀山城と宿場／４つの宿場／鈴鹿峠ふもとの宿場 坂下宿</t>
    <rPh sb="0" eb="3">
      <t>カメヤマジョウ</t>
    </rPh>
    <rPh sb="4" eb="12">
      <t>シュクバ・４ツノシュクバ</t>
    </rPh>
    <rPh sb="15" eb="16">
      <t>トウゲ</t>
    </rPh>
    <rPh sb="20" eb="22">
      <t>シュクバ</t>
    </rPh>
    <rPh sb="23" eb="25">
      <t>サカシタ</t>
    </rPh>
    <rPh sb="25" eb="26">
      <t>ジュク</t>
    </rPh>
    <phoneticPr fontId="2"/>
  </si>
  <si>
    <t>http://kameyamarekihaku.jp/kodomo/w_e_b/syukuba/4syukuba/page003.html</t>
  </si>
  <si>
    <t>『鈴鹿関町史』下巻年表
『辛酉紀行』</t>
    <rPh sb="7" eb="9">
      <t>ゲカン</t>
    </rPh>
    <phoneticPr fontId="2"/>
  </si>
  <si>
    <t>古典に出てくる亀山／旅／江戸時代の旅人</t>
    <rPh sb="12" eb="14">
      <t>エド</t>
    </rPh>
    <phoneticPr fontId="2"/>
  </si>
  <si>
    <t>元和9</t>
    <phoneticPr fontId="2"/>
  </si>
  <si>
    <t>徳川秀忠・家光、上洛のため亀山城に止泊、三宅康信饗応する</t>
    <rPh sb="2" eb="4">
      <t>ヒデタダ</t>
    </rPh>
    <rPh sb="5" eb="7">
      <t>イエミツ</t>
    </rPh>
    <rPh sb="8" eb="10">
      <t>ジョウラク</t>
    </rPh>
    <phoneticPr fontId="2"/>
  </si>
  <si>
    <t>三宅康信</t>
    <rPh sb="0" eb="2">
      <t>ミヤケ</t>
    </rPh>
    <rPh sb="2" eb="3">
      <t>ヤス</t>
    </rPh>
    <rPh sb="3" eb="4">
      <t>シン</t>
    </rPh>
    <phoneticPr fontId="2"/>
  </si>
  <si>
    <t>『徳川実紀』
『亀山市史』歴史分野　近世ページ　年表</t>
    <rPh sb="1" eb="3">
      <t>トクガワ</t>
    </rPh>
    <rPh sb="3" eb="5">
      <t>ミキ</t>
    </rPh>
    <rPh sb="8" eb="11">
      <t>カメヤマシ</t>
    </rPh>
    <rPh sb="11" eb="12">
      <t>シ</t>
    </rPh>
    <rPh sb="13" eb="15">
      <t>レキシ</t>
    </rPh>
    <rPh sb="15" eb="17">
      <t>ブンヤ</t>
    </rPh>
    <rPh sb="18" eb="20">
      <t>キンセイ</t>
    </rPh>
    <rPh sb="24" eb="26">
      <t>ネンピョウ</t>
    </rPh>
    <phoneticPr fontId="2"/>
  </si>
  <si>
    <t>亀山城と宿場／亀山城と江戸幕府／亀山城に泊まった将軍</t>
    <phoneticPr fontId="2"/>
  </si>
  <si>
    <t>http://kameyamarekihaku.jp/kodomo/w_e_b/syukuba/edobakufu/syogun/index.html</t>
  </si>
  <si>
    <t>亀山城と宿場／江戸時代の亀山城主／三宅康信・康盛</t>
    <phoneticPr fontId="2"/>
  </si>
  <si>
    <t>日本の歴史の中の亀山／近世の亀山／江戸幕府の成立と鎖国／将軍上洛と亀山城</t>
    <phoneticPr fontId="2"/>
  </si>
  <si>
    <t>元和9</t>
  </si>
  <si>
    <t>関宿を木崎・中町・新所に３分割する</t>
  </si>
  <si>
    <t>関町木崎・関町中町・関町新所</t>
    <phoneticPr fontId="2"/>
  </si>
  <si>
    <t>むかしの道と交通／亀山の近世の道</t>
  </si>
  <si>
    <t>『鈴鹿関町史』下巻年表</t>
    <rPh sb="7" eb="9">
      <t>ゲカン</t>
    </rPh>
    <phoneticPr fontId="2"/>
  </si>
  <si>
    <t>亀山城と宿場／４つの宿場／東海道・伊勢街道・大和街道分岐の宿場 関宿</t>
    <rPh sb="0" eb="3">
      <t>カメヤマジョウ</t>
    </rPh>
    <rPh sb="4" eb="7">
      <t>シュクバ・</t>
    </rPh>
    <rPh sb="10" eb="26">
      <t>シュクバ・トウカイドウ・イセカイドウ・ヤマトカイドウ</t>
    </rPh>
    <rPh sb="26" eb="28">
      <t>ブンキ</t>
    </rPh>
    <rPh sb="29" eb="31">
      <t>シュクバ</t>
    </rPh>
    <rPh sb="32" eb="33">
      <t>セキ</t>
    </rPh>
    <rPh sb="33" eb="34">
      <t>ジュク</t>
    </rPh>
    <phoneticPr fontId="2"/>
  </si>
  <si>
    <t>http://kameyamarekihaku.jp/kodomo/w_e_b/syukuba/4syukuba/page002.html</t>
  </si>
  <si>
    <t>亀山のいいとこさがし／景色のよいところや歴史を知る手掛かりとなるもの／関宿のまちなみ／木崎のまちなみ</t>
    <rPh sb="43" eb="45">
      <t>キザキ</t>
    </rPh>
    <phoneticPr fontId="2"/>
  </si>
  <si>
    <t>http://kameyamarekihaku.jp/kodomo/w_e_b/iitoko/tegakari/machinami/kozaki/index.html</t>
  </si>
  <si>
    <t>亀山のいいとこさがし／景色のよいところや歴史を知る手掛かりとなるもの／関宿のまちなみ／中町のまちなみ</t>
    <rPh sb="43" eb="45">
      <t>ナカマチ</t>
    </rPh>
    <phoneticPr fontId="2"/>
  </si>
  <si>
    <t>http://kameyamarekihaku.jp/kodomo/w_e_b/iitoko/tegakari/machinami/nakamachi/index.html</t>
  </si>
  <si>
    <t>亀山のいいとこさがし／景色のよいところや歴史を知る手掛かりとなるもの／関宿のまちなみ／新所のまちなみ</t>
    <rPh sb="43" eb="45">
      <t>シンジョ</t>
    </rPh>
    <phoneticPr fontId="2"/>
  </si>
  <si>
    <t>http://kameyamarekihaku.jp/kodomo/w_e_b/iitoko/tegakari/machinami/shinjo/index.html</t>
  </si>
  <si>
    <t>寛永3</t>
  </si>
  <si>
    <t>徳川秀忠、上洛途中で亀山城へ止宿、三宅康信饗応する</t>
    <phoneticPr fontId="2"/>
  </si>
  <si>
    <t>徳川秀忠</t>
  </si>
  <si>
    <t>『亀山地方郷土史』第一巻</t>
    <phoneticPr fontId="2"/>
  </si>
  <si>
    <t>亀山城と宿場／亀山城と江戸幕府／亀山城に泊まった将軍／徳川秀忠</t>
    <rPh sb="29" eb="31">
      <t>ヒデタダ</t>
    </rPh>
    <phoneticPr fontId="2"/>
  </si>
  <si>
    <t>http://kameyamarekihaku.jp/kodomo/w_e_b/syukuba/edobakufu/syogun/page002.html</t>
  </si>
  <si>
    <t>日本の歴史の中の亀山／近世の亀山／江戸幕府の成立と鎖国／将軍上洛と亀山城</t>
    <phoneticPr fontId="2"/>
  </si>
  <si>
    <t>徳川家光、上洛途中で亀山城へ止宿、三宅康信饗応する</t>
    <rPh sb="2" eb="4">
      <t>イエミツ</t>
    </rPh>
    <phoneticPr fontId="2"/>
  </si>
  <si>
    <t>徳川家光</t>
    <rPh sb="0" eb="2">
      <t>トクガワ</t>
    </rPh>
    <phoneticPr fontId="2"/>
  </si>
  <si>
    <t>『徳川実紀』
『亀山地方郷土史』第一巻</t>
    <rPh sb="1" eb="3">
      <t>トクガワ</t>
    </rPh>
    <rPh sb="3" eb="5">
      <t>ミキ</t>
    </rPh>
    <phoneticPr fontId="2"/>
  </si>
  <si>
    <t>亀山城と宿場／亀山城と江戸幕府／亀山城に泊まった将軍／徳川家光</t>
    <rPh sb="27" eb="29">
      <t>トクガワ</t>
    </rPh>
    <rPh sb="29" eb="31">
      <t>イエミツ</t>
    </rPh>
    <phoneticPr fontId="2"/>
  </si>
  <si>
    <t>http://kameyamarekihaku.jp/kodomo/w_e_b/syukuba/edobakufu/syogun/page003.html</t>
  </si>
  <si>
    <t>寛永9</t>
  </si>
  <si>
    <t>三宅康盛、亀山城主になる</t>
  </si>
  <si>
    <t>三宅康盛</t>
  </si>
  <si>
    <t xml:space="preserve">『亀山地方郷土史』第一巻P.406
『亀山市史』歴史分野　近世ページ亀山城主の移り変わり・年表
</t>
    <rPh sb="18" eb="47">
      <t>ジョウシュ</t>
    </rPh>
    <phoneticPr fontId="2"/>
  </si>
  <si>
    <t>幕府が堀尾忠晴に丹波亀山城の普請を命じた所、誤って伊勢亀山城の天守を壊す</t>
    <phoneticPr fontId="2"/>
  </si>
  <si>
    <t>本丸町</t>
    <rPh sb="2" eb="3">
      <t>チョウ</t>
    </rPh>
    <phoneticPr fontId="2"/>
  </si>
  <si>
    <t>堀尾忠晴</t>
  </si>
  <si>
    <t>亀山城と宿場／亀山城のつくり／天守</t>
    <rPh sb="15" eb="17">
      <t>テンシュ</t>
    </rPh>
    <phoneticPr fontId="2"/>
  </si>
  <si>
    <t>http://kameyamarekihaku.jp/kodomo/w_e_b/syukuba/tsukuri/page008.html</t>
  </si>
  <si>
    <t>寛永10</t>
    <rPh sb="0" eb="2">
      <t>カンエイ</t>
    </rPh>
    <phoneticPr fontId="2"/>
  </si>
  <si>
    <t>花房幸次、徳川家光上洛のための亀山城修築の奉行に命じられる</t>
    <rPh sb="0" eb="1">
      <t>ハナ</t>
    </rPh>
    <rPh sb="1" eb="2">
      <t>フサ</t>
    </rPh>
    <rPh sb="2" eb="3">
      <t>サチ</t>
    </rPh>
    <rPh sb="3" eb="4">
      <t>ツギ</t>
    </rPh>
    <rPh sb="5" eb="7">
      <t>トクガワ</t>
    </rPh>
    <rPh sb="7" eb="9">
      <t>イエミツ</t>
    </rPh>
    <rPh sb="9" eb="11">
      <t>ジョウラク</t>
    </rPh>
    <rPh sb="15" eb="17">
      <t>カメヤマ</t>
    </rPh>
    <rPh sb="17" eb="18">
      <t>シロ</t>
    </rPh>
    <rPh sb="18" eb="20">
      <t>シュウチク</t>
    </rPh>
    <rPh sb="21" eb="23">
      <t>ブギョウ</t>
    </rPh>
    <rPh sb="24" eb="25">
      <t>メイ</t>
    </rPh>
    <phoneticPr fontId="2"/>
  </si>
  <si>
    <t>亀山城</t>
    <rPh sb="0" eb="2">
      <t>カメヤマ</t>
    </rPh>
    <rPh sb="2" eb="3">
      <t>シロ</t>
    </rPh>
    <phoneticPr fontId="2"/>
  </si>
  <si>
    <t>花房幸次</t>
    <rPh sb="0" eb="2">
      <t>ハナフサ</t>
    </rPh>
    <rPh sb="2" eb="3">
      <t>サチ</t>
    </rPh>
    <rPh sb="3" eb="4">
      <t>ツ</t>
    </rPh>
    <phoneticPr fontId="2"/>
  </si>
  <si>
    <t>亀山城と宿場／亀山城と江戸幕府</t>
    <rPh sb="11" eb="13">
      <t>エド</t>
    </rPh>
    <rPh sb="13" eb="15">
      <t>バクフ</t>
    </rPh>
    <phoneticPr fontId="2"/>
  </si>
  <si>
    <t xml:space="preserve">『徳川実紀』
『亀山地方郷土史』第一巻P.406
『伊勢亀山城趾発掘調査報告書』Ⅲ
『亀山市史』歴史分野　近世ページ　年表
</t>
    <rPh sb="1" eb="3">
      <t>トクガワ</t>
    </rPh>
    <rPh sb="3" eb="5">
      <t>ミキ</t>
    </rPh>
    <rPh sb="26" eb="28">
      <t>イセ</t>
    </rPh>
    <rPh sb="28" eb="30">
      <t>カメヤマ</t>
    </rPh>
    <rPh sb="30" eb="32">
      <t>ジョウシ</t>
    </rPh>
    <rPh sb="32" eb="34">
      <t>ハックツ</t>
    </rPh>
    <rPh sb="34" eb="36">
      <t>チョウサ</t>
    </rPh>
    <rPh sb="36" eb="39">
      <t>ホウコクショ</t>
    </rPh>
    <rPh sb="43" eb="46">
      <t>カメヤマシ</t>
    </rPh>
    <rPh sb="46" eb="47">
      <t>シ</t>
    </rPh>
    <rPh sb="48" eb="50">
      <t>レキシ</t>
    </rPh>
    <rPh sb="50" eb="52">
      <t>ブンヤ</t>
    </rPh>
    <rPh sb="53" eb="55">
      <t>キンセイ</t>
    </rPh>
    <rPh sb="59" eb="61">
      <t>ネンピョウ</t>
    </rPh>
    <phoneticPr fontId="2"/>
  </si>
  <si>
    <t>寛永11</t>
  </si>
  <si>
    <t>徳川家光、京都よりの帰途に亀山城に止宿する</t>
  </si>
  <si>
    <t>徳川家光</t>
  </si>
  <si>
    <t>日本の歴史の中の亀山／近世の亀山／江戸幕府の成立と鎖国／将軍上洛と亀山城</t>
    <phoneticPr fontId="2"/>
  </si>
  <si>
    <t>寛永12</t>
  </si>
  <si>
    <t>参勤交代の制度ができる</t>
  </si>
  <si>
    <t>寛永13</t>
  </si>
  <si>
    <t>本多俊次、亀山城主になる
亀山領８６ヶ村が確定する</t>
    <rPh sb="13" eb="15">
      <t>カメヤマ</t>
    </rPh>
    <rPh sb="15" eb="16">
      <t>リョウ</t>
    </rPh>
    <rPh sb="19" eb="20">
      <t>ソン</t>
    </rPh>
    <rPh sb="21" eb="23">
      <t>カクテイ</t>
    </rPh>
    <phoneticPr fontId="2"/>
  </si>
  <si>
    <t>亀山西・亀山東・亀山南・井田川・川崎・野登・白川・神辺・関</t>
    <rPh sb="0" eb="2">
      <t>カメヤマ</t>
    </rPh>
    <rPh sb="2" eb="3">
      <t>ニシ</t>
    </rPh>
    <rPh sb="4" eb="6">
      <t>カメヤマ</t>
    </rPh>
    <rPh sb="6" eb="7">
      <t>ヒガシ</t>
    </rPh>
    <rPh sb="8" eb="10">
      <t>カメヤマ</t>
    </rPh>
    <rPh sb="10" eb="11">
      <t>ミナミ</t>
    </rPh>
    <rPh sb="12" eb="15">
      <t>イダガワ</t>
    </rPh>
    <phoneticPr fontId="2"/>
  </si>
  <si>
    <t>東町・西町・野村・野村町・布気町・住山町・羽若町・亀田町・椿世町・菅内町・阿野田町・井田川町・田村町・長明寺町・川崎町・太森町・辺法寺町・両尾町・安坂山町・関町新所・関町木崎・小野町・関町小野・会下町・白木町・関町白木一色・小川町・太岡寺町・山下町・木下町・関町市瀬・関町沓掛・川合町・和田町・井尻町</t>
  </si>
  <si>
    <t>本多俊次</t>
  </si>
  <si>
    <t>亀山城と宿場／江戸時代の亀山城主／本多俊次</t>
    <rPh sb="0" eb="3">
      <t>カメヤマジョウ</t>
    </rPh>
    <rPh sb="4" eb="6">
      <t>シュクバ</t>
    </rPh>
    <rPh sb="7" eb="9">
      <t>エド</t>
    </rPh>
    <rPh sb="9" eb="11">
      <t>ジダイ</t>
    </rPh>
    <rPh sb="12" eb="15">
      <t>カメヤマジョウ</t>
    </rPh>
    <rPh sb="15" eb="16">
      <t>シュ</t>
    </rPh>
    <rPh sb="17" eb="21">
      <t>ホンダトシツグ</t>
    </rPh>
    <phoneticPr fontId="2"/>
  </si>
  <si>
    <t>http://kameyamarekihaku.jp/kodomo/w_e_b/syukuba/joushu-edo/page006.html</t>
  </si>
  <si>
    <t>『亀山市史』歴史分野 近世ページ 亀山城主の移り変わり・年表
『亀山地方郷土史』第一巻P.411</t>
    <rPh sb="6" eb="8">
      <t>レキシ</t>
    </rPh>
    <rPh sb="8" eb="10">
      <t>ブンヤ</t>
    </rPh>
    <phoneticPr fontId="2"/>
  </si>
  <si>
    <t>日本の歴史の中の亀山／近世の亀山／江戸幕府の成立と鎖国／定まった大名領地</t>
    <rPh sb="28" eb="29">
      <t>サダ</t>
    </rPh>
    <rPh sb="32" eb="34">
      <t>ダイミョウ</t>
    </rPh>
    <rPh sb="34" eb="36">
      <t>リョウチ</t>
    </rPh>
    <phoneticPr fontId="2"/>
  </si>
  <si>
    <t>http://kameyamarekihaku.jp/kodomo/w_e_b/rekishi/kinsei/edobakuhu/daimyou/index.html</t>
  </si>
  <si>
    <t>亀山領内に代官役をおく</t>
    <rPh sb="0" eb="2">
      <t>カメヤマ</t>
    </rPh>
    <rPh sb="2" eb="4">
      <t>リョウナイ</t>
    </rPh>
    <rPh sb="5" eb="7">
      <t>ダイカン</t>
    </rPh>
    <rPh sb="7" eb="8">
      <t>ヤク</t>
    </rPh>
    <phoneticPr fontId="2"/>
  </si>
  <si>
    <t>市川善右衛門・打田覚左衛門・増田万五郎・原久太夫・山中五太夫・佐藤惣兵衛・原善兵衛・樋口太郎兵衛・若林五郎右衛門</t>
    <rPh sb="0" eb="2">
      <t>イチカワ</t>
    </rPh>
    <rPh sb="2" eb="3">
      <t>ゼン</t>
    </rPh>
    <rPh sb="3" eb="6">
      <t>エモン</t>
    </rPh>
    <rPh sb="7" eb="9">
      <t>ウチダ</t>
    </rPh>
    <rPh sb="9" eb="10">
      <t>カク</t>
    </rPh>
    <rPh sb="10" eb="13">
      <t>サエモン</t>
    </rPh>
    <rPh sb="14" eb="16">
      <t>マスダ</t>
    </rPh>
    <rPh sb="16" eb="19">
      <t>マンゴロウ</t>
    </rPh>
    <rPh sb="20" eb="22">
      <t>ハラヒサ</t>
    </rPh>
    <rPh sb="22" eb="24">
      <t>タユウ</t>
    </rPh>
    <rPh sb="25" eb="27">
      <t>サンチュウ</t>
    </rPh>
    <rPh sb="27" eb="28">
      <t>ゴ</t>
    </rPh>
    <rPh sb="28" eb="30">
      <t>タユウ</t>
    </rPh>
    <rPh sb="31" eb="33">
      <t>サトウ</t>
    </rPh>
    <rPh sb="33" eb="36">
      <t>ソウベエ</t>
    </rPh>
    <rPh sb="37" eb="38">
      <t>ハラ</t>
    </rPh>
    <rPh sb="38" eb="41">
      <t>ゼンベイ</t>
    </rPh>
    <rPh sb="42" eb="44">
      <t>ヒグチ</t>
    </rPh>
    <rPh sb="44" eb="48">
      <t>タロウベエ</t>
    </rPh>
    <rPh sb="49" eb="51">
      <t>ワカバヤシ</t>
    </rPh>
    <rPh sb="51" eb="53">
      <t>ゴロウ</t>
    </rPh>
    <rPh sb="53" eb="54">
      <t>ミギ</t>
    </rPh>
    <rPh sb="54" eb="56">
      <t>エモン</t>
    </rPh>
    <phoneticPr fontId="2"/>
  </si>
  <si>
    <t>『鈴鹿関町史』上巻P.261</t>
    <rPh sb="7" eb="9">
      <t>ジョウカン</t>
    </rPh>
    <phoneticPr fontId="2"/>
  </si>
  <si>
    <t>寛永14</t>
  </si>
  <si>
    <t>島原・天草の一挨がおこる（～３８）</t>
    <phoneticPr fontId="2"/>
  </si>
  <si>
    <t>本多俊次、キリシタン禁教令を出す</t>
  </si>
  <si>
    <t>亀山城と宿場／江戸時代の亀山城主／本多俊次</t>
    <rPh sb="0" eb="3">
      <t>カメヤマジョウ</t>
    </rPh>
    <rPh sb="4" eb="6">
      <t>シュクバ</t>
    </rPh>
    <rPh sb="7" eb="9">
      <t>エド</t>
    </rPh>
    <rPh sb="9" eb="11">
      <t>ジダイ</t>
    </rPh>
    <rPh sb="12" eb="15">
      <t>カメヤマジョウ</t>
    </rPh>
    <rPh sb="15" eb="16">
      <t>シュ</t>
    </rPh>
    <rPh sb="17" eb="19">
      <t>ホンダ</t>
    </rPh>
    <rPh sb="19" eb="21">
      <t>トシツグ</t>
    </rPh>
    <phoneticPr fontId="2"/>
  </si>
  <si>
    <t>『鈴鹿関町史』上巻P.288
『鈴鹿関町史』下巻年表P.854</t>
    <rPh sb="22" eb="24">
      <t>ゲカン</t>
    </rPh>
    <phoneticPr fontId="2"/>
  </si>
  <si>
    <t>寛永14</t>
    <phoneticPr fontId="2"/>
  </si>
  <si>
    <t>領内・坂下村（幕府領）で検地が行われる</t>
    <rPh sb="0" eb="2">
      <t>リョウナイ</t>
    </rPh>
    <rPh sb="3" eb="5">
      <t>サカシタ</t>
    </rPh>
    <rPh sb="5" eb="6">
      <t>ムラ</t>
    </rPh>
    <rPh sb="7" eb="9">
      <t>バクフ</t>
    </rPh>
    <rPh sb="9" eb="10">
      <t>リョウ</t>
    </rPh>
    <rPh sb="12" eb="14">
      <t>ケンチ</t>
    </rPh>
    <rPh sb="15" eb="16">
      <t>オコナ</t>
    </rPh>
    <phoneticPr fontId="2"/>
  </si>
  <si>
    <t>画像史料：寛永拾四丑年田畑御検地水帳之内生地当時持主名寄書上帳　弐冊之内　沓掛村（市史近世・近代・現代史料データベース館蔵関町史編さん資料10-2）／勢州鈴鹿郡坂下村検地帳（市史近世・近代・現代史料データベース館蔵関町史編さん資料5-47）／寛政五丑九月 寛永十四丁丑年畑方御検地水帳写 当時名寄持主永引之訳書上帳 和田村（市史近世・近代・現代史料データベース寄託渡辺家文書C2-63）</t>
    <rPh sb="0" eb="2">
      <t>ガゾウ</t>
    </rPh>
    <rPh sb="2" eb="4">
      <t>シリョウ</t>
    </rPh>
    <rPh sb="37" eb="39">
      <t>クツカケ</t>
    </rPh>
    <rPh sb="39" eb="40">
      <t>ムラ</t>
    </rPh>
    <rPh sb="61" eb="62">
      <t>セキ</t>
    </rPh>
    <rPh sb="62" eb="64">
      <t>チョウシ</t>
    </rPh>
    <rPh sb="64" eb="65">
      <t>ヘン</t>
    </rPh>
    <rPh sb="67" eb="69">
      <t>シリョウ</t>
    </rPh>
    <rPh sb="75" eb="77">
      <t>セイシュウ</t>
    </rPh>
    <rPh sb="77" eb="80">
      <t>スズカグン</t>
    </rPh>
    <rPh sb="80" eb="82">
      <t>サカシタ</t>
    </rPh>
    <rPh sb="82" eb="83">
      <t>ムラ</t>
    </rPh>
    <rPh sb="83" eb="86">
      <t>ケンチチョウ</t>
    </rPh>
    <rPh sb="87" eb="88">
      <t>シ</t>
    </rPh>
    <rPh sb="88" eb="89">
      <t>シ</t>
    </rPh>
    <rPh sb="89" eb="91">
      <t>キンセイ</t>
    </rPh>
    <rPh sb="92" eb="94">
      <t>キンダイ</t>
    </rPh>
    <rPh sb="105" eb="107">
      <t>カンゾウ</t>
    </rPh>
    <rPh sb="107" eb="108">
      <t>セキ</t>
    </rPh>
    <rPh sb="108" eb="110">
      <t>チョウシ</t>
    </rPh>
    <rPh sb="110" eb="111">
      <t>ヘン</t>
    </rPh>
    <rPh sb="113" eb="115">
      <t>シリョウ</t>
    </rPh>
    <rPh sb="180" eb="182">
      <t>キタク</t>
    </rPh>
    <rPh sb="182" eb="185">
      <t>ワタナベケ</t>
    </rPh>
    <rPh sb="185" eb="187">
      <t>モンジョ</t>
    </rPh>
    <phoneticPr fontId="2"/>
  </si>
  <si>
    <t>『鈴鹿関町史』上巻P.303
『亀山地方郷土史』第一巻P.416</t>
    <rPh sb="7" eb="9">
      <t>ジョウカン</t>
    </rPh>
    <phoneticPr fontId="2"/>
  </si>
  <si>
    <t>寛永15</t>
  </si>
  <si>
    <t>各地で新田の開発が行われる</t>
  </si>
  <si>
    <t>領内で新田開発が行われる</t>
    <rPh sb="0" eb="2">
      <t>リョウナイ</t>
    </rPh>
    <phoneticPr fontId="2"/>
  </si>
  <si>
    <t>日本の歴史の中の亀山／近世の亀山／鎖国の中の海外／農業や諸産業の発達／新田の状況</t>
    <rPh sb="25" eb="27">
      <t>ノウギョウ</t>
    </rPh>
    <rPh sb="28" eb="29">
      <t>ショ</t>
    </rPh>
    <rPh sb="29" eb="31">
      <t>サンギョウ</t>
    </rPh>
    <rPh sb="32" eb="34">
      <t>ハッタツ</t>
    </rPh>
    <rPh sb="35" eb="37">
      <t>シンデン</t>
    </rPh>
    <rPh sb="38" eb="40">
      <t>ジョウキョウ</t>
    </rPh>
    <phoneticPr fontId="2"/>
  </si>
  <si>
    <t>http://kameyamarekihaku.jp/kodomo/w_e_b/rekishi/kinsei/nougyou/page001.html</t>
  </si>
  <si>
    <t>『亀山地方郷土史』第一巻P.422</t>
    <phoneticPr fontId="2"/>
  </si>
  <si>
    <t>本多俊次、亀山城を修築する</t>
  </si>
  <si>
    <t>亀山城と宿場／亀山城のつくり</t>
    <phoneticPr fontId="2"/>
  </si>
  <si>
    <t>『亀山地方郷土史』第一巻P.423
『亀山市史』通史 近世
『亀山市史』考古分野</t>
    <rPh sb="19" eb="22">
      <t>カメヤマシ</t>
    </rPh>
    <rPh sb="22" eb="23">
      <t>シ</t>
    </rPh>
    <rPh sb="24" eb="26">
      <t>ツウシ</t>
    </rPh>
    <rPh sb="27" eb="29">
      <t>キンセイ</t>
    </rPh>
    <rPh sb="30" eb="40">
      <t>カ</t>
    </rPh>
    <phoneticPr fontId="2"/>
  </si>
  <si>
    <t>「亀山城廻絵図」パズル</t>
    <phoneticPr fontId="2"/>
  </si>
  <si>
    <t>亀山城と宿場／亀山城の完成</t>
    <rPh sb="7" eb="10">
      <t>カメヤマジョウ</t>
    </rPh>
    <rPh sb="11" eb="13">
      <t>カンセイ</t>
    </rPh>
    <phoneticPr fontId="2"/>
  </si>
  <si>
    <t>http://kameyamarekihaku.jp/kodomo/w_e_b/syukuba/kansei/index.html</t>
  </si>
  <si>
    <t>亀山城と宿場／亀山城の完成</t>
    <phoneticPr fontId="2"/>
  </si>
  <si>
    <t>亀山のむかしばなし／おもしろいおはなし／本多俊次の大失敗</t>
    <rPh sb="0" eb="2">
      <t>カメヤマ</t>
    </rPh>
    <rPh sb="20" eb="22">
      <t>ホンダ</t>
    </rPh>
    <rPh sb="22" eb="24">
      <t>トシツグ</t>
    </rPh>
    <rPh sb="25" eb="28">
      <t>ダイシッパイ</t>
    </rPh>
    <phoneticPr fontId="2"/>
  </si>
  <si>
    <t>http://kameyamarekihaku.jp/kodomo/w_e_b/hanashi/omoshiroi/page016.html</t>
  </si>
  <si>
    <t>海外との交渉を制限する</t>
  </si>
  <si>
    <t>代官役が大庄屋に改められる</t>
    <rPh sb="0" eb="2">
      <t>ダイカン</t>
    </rPh>
    <rPh sb="2" eb="3">
      <t>ヤク</t>
    </rPh>
    <rPh sb="8" eb="9">
      <t>アラタ</t>
    </rPh>
    <phoneticPr fontId="2"/>
  </si>
  <si>
    <t>打田庄左衛門・増田万五郎・原久太夫・山中五太夫・佐藤惣兵衛・樋口太郎兵衛・若林五郎右衛門</t>
    <rPh sb="2" eb="3">
      <t>ショウ</t>
    </rPh>
    <rPh sb="3" eb="4">
      <t>サ</t>
    </rPh>
    <rPh sb="4" eb="5">
      <t>マモル</t>
    </rPh>
    <rPh sb="5" eb="6">
      <t>モン</t>
    </rPh>
    <phoneticPr fontId="2"/>
  </si>
  <si>
    <t>九々五集（半田写本）・鈴鹿郡地方文書</t>
    <phoneticPr fontId="2"/>
  </si>
  <si>
    <t>『亀山地方郷土史』第一巻P.417
『鈴鹿関町史』上巻P.257
図録『江戸時代の亀山領』P.9
『亀山市史』通史 近世
『亀山市史』考古分野</t>
    <rPh sb="33" eb="35">
      <t>ズロク</t>
    </rPh>
    <rPh sb="36" eb="38">
      <t>エド</t>
    </rPh>
    <rPh sb="38" eb="40">
      <t>ジダイ</t>
    </rPh>
    <rPh sb="41" eb="43">
      <t>カメヤマ</t>
    </rPh>
    <rPh sb="43" eb="44">
      <t>リョウ</t>
    </rPh>
    <rPh sb="55" eb="57">
      <t>ツウシ</t>
    </rPh>
    <rPh sb="58" eb="60">
      <t>キンセイ</t>
    </rPh>
    <rPh sb="61" eb="71">
      <t>カ</t>
    </rPh>
    <phoneticPr fontId="2"/>
  </si>
  <si>
    <t>寛永18</t>
    <rPh sb="0" eb="2">
      <t>カンエイ</t>
    </rPh>
    <phoneticPr fontId="2"/>
  </si>
  <si>
    <t>鎖国の体制が固まる</t>
  </si>
  <si>
    <t>加太で大早魃がおこる</t>
    <rPh sb="0" eb="2">
      <t>カブト</t>
    </rPh>
    <rPh sb="3" eb="4">
      <t>ダイ</t>
    </rPh>
    <rPh sb="4" eb="5">
      <t>ソウ</t>
    </rPh>
    <phoneticPr fontId="2"/>
  </si>
  <si>
    <t>加太</t>
    <rPh sb="0" eb="2">
      <t>カブト</t>
    </rPh>
    <phoneticPr fontId="2"/>
  </si>
  <si>
    <t>加太</t>
    <phoneticPr fontId="2"/>
  </si>
  <si>
    <t>『鈴鹿関町史』上巻P.654
『鈴鹿関町史』下巻年表</t>
    <rPh sb="22" eb="24">
      <t>ゲカン</t>
    </rPh>
    <phoneticPr fontId="2"/>
  </si>
  <si>
    <r>
      <t>寛永1</t>
    </r>
    <r>
      <rPr>
        <sz val="11"/>
        <rFont val="ＭＳ Ｐゴシック"/>
        <family val="3"/>
        <charset val="128"/>
      </rPr>
      <t>9</t>
    </r>
    <rPh sb="0" eb="2">
      <t>カンエイ</t>
    </rPh>
    <phoneticPr fontId="2"/>
  </si>
  <si>
    <t>津藩でキリシタン禁教について覚書が出される</t>
    <rPh sb="0" eb="1">
      <t>ツ</t>
    </rPh>
    <rPh sb="1" eb="2">
      <t>ハン</t>
    </rPh>
    <rPh sb="8" eb="10">
      <t>キンキョウ</t>
    </rPh>
    <rPh sb="14" eb="16">
      <t>オボエガキ</t>
    </rPh>
    <rPh sb="17" eb="18">
      <t>ダ</t>
    </rPh>
    <phoneticPr fontId="2"/>
  </si>
  <si>
    <t>加太・関</t>
    <rPh sb="0" eb="2">
      <t>カブト</t>
    </rPh>
    <rPh sb="3" eb="4">
      <t>セキ</t>
    </rPh>
    <phoneticPr fontId="2"/>
  </si>
  <si>
    <t>加太（全）・古厩・萩原・福徳・久我</t>
    <rPh sb="0" eb="2">
      <t>カブト</t>
    </rPh>
    <rPh sb="3" eb="4">
      <t>ゼン</t>
    </rPh>
    <rPh sb="6" eb="7">
      <t>フル</t>
    </rPh>
    <rPh sb="9" eb="11">
      <t>ハギワラ</t>
    </rPh>
    <rPh sb="12" eb="14">
      <t>フクトク</t>
    </rPh>
    <rPh sb="15" eb="16">
      <t>ク</t>
    </rPh>
    <rPh sb="16" eb="17">
      <t>ガ</t>
    </rPh>
    <phoneticPr fontId="2"/>
  </si>
  <si>
    <t>日本の歴史の中の亀山／近世の亀山／江戸幕府の成立と鎖国／鎖国と禁教／宗旨人別帳の作成と寺院</t>
    <rPh sb="28" eb="30">
      <t>サコク</t>
    </rPh>
    <rPh sb="31" eb="33">
      <t>キンキョウ</t>
    </rPh>
    <rPh sb="34" eb="36">
      <t>シュウシ</t>
    </rPh>
    <rPh sb="36" eb="38">
      <t>ニンベツ</t>
    </rPh>
    <rPh sb="38" eb="39">
      <t>チョウ</t>
    </rPh>
    <rPh sb="40" eb="42">
      <t>サクセイ</t>
    </rPh>
    <rPh sb="43" eb="45">
      <t>ジイン</t>
    </rPh>
    <phoneticPr fontId="2"/>
  </si>
  <si>
    <t>http://kameyamarekihaku.jp/kodomo/w_e_b/rekishi/kinsei/sakoku/page001.html</t>
  </si>
  <si>
    <t>『鈴鹿関町史』上巻P.288
『鈴鹿関町史』下巻年表P.854
『亀山市史』歴史分野　近世・近代・現代史料データーベース「文化九年申六月　宗旨御改帳　伊勢国鈴鹿郡太岡寺村」（鈴鹿郡地方文書1－64）</t>
    <rPh sb="22" eb="24">
      <t>ゲカン</t>
    </rPh>
    <rPh sb="33" eb="36">
      <t>カメヤマシ</t>
    </rPh>
    <rPh sb="36" eb="37">
      <t>シ</t>
    </rPh>
    <rPh sb="38" eb="40">
      <t>レキシ</t>
    </rPh>
    <rPh sb="40" eb="42">
      <t>ブンヤ</t>
    </rPh>
    <rPh sb="43" eb="45">
      <t>キンセイ</t>
    </rPh>
    <rPh sb="46" eb="48">
      <t>キンダイ</t>
    </rPh>
    <rPh sb="49" eb="51">
      <t>ゲンダイ</t>
    </rPh>
    <rPh sb="51" eb="53">
      <t>シリョウ</t>
    </rPh>
    <phoneticPr fontId="2"/>
  </si>
  <si>
    <t>慶安3</t>
  </si>
  <si>
    <t>坂下で大洪水、坂下宿（古町）壊滅</t>
    <rPh sb="0" eb="2">
      <t>サカシタ</t>
    </rPh>
    <rPh sb="3" eb="6">
      <t>ダイコウズイ</t>
    </rPh>
    <rPh sb="7" eb="9">
      <t>サカシタ</t>
    </rPh>
    <rPh sb="9" eb="10">
      <t>シュク</t>
    </rPh>
    <rPh sb="11" eb="12">
      <t>フル</t>
    </rPh>
    <rPh sb="12" eb="13">
      <t>マチ</t>
    </rPh>
    <rPh sb="14" eb="16">
      <t>カイメツ</t>
    </rPh>
    <phoneticPr fontId="2"/>
  </si>
  <si>
    <t>関町坂下</t>
    <phoneticPr fontId="2"/>
  </si>
  <si>
    <t>坂下宿</t>
    <phoneticPr fontId="2"/>
  </si>
  <si>
    <t>画像史料：去寅年の大水で坂下町場が関地蔵方寄りになり、土山の者訴状につき書状（市史近世・近代・現代史料データベース　京都市個人Ⅰ所蔵2ー28）</t>
    <rPh sb="0" eb="2">
      <t>ガゾウ</t>
    </rPh>
    <rPh sb="2" eb="4">
      <t>シリョウ</t>
    </rPh>
    <rPh sb="39" eb="40">
      <t>シ</t>
    </rPh>
    <rPh sb="40" eb="41">
      <t>シ</t>
    </rPh>
    <rPh sb="41" eb="43">
      <t>キンセイ</t>
    </rPh>
    <rPh sb="44" eb="46">
      <t>キンダイ</t>
    </rPh>
    <rPh sb="47" eb="49">
      <t>ゲンダイ</t>
    </rPh>
    <rPh sb="49" eb="51">
      <t>シリョウ</t>
    </rPh>
    <rPh sb="58" eb="61">
      <t>キョウトシ</t>
    </rPh>
    <rPh sb="61" eb="63">
      <t>コジン</t>
    </rPh>
    <rPh sb="64" eb="66">
      <t>ショゾウ</t>
    </rPh>
    <phoneticPr fontId="2"/>
  </si>
  <si>
    <t>むかしの道と交通／亀山の近世の道</t>
    <phoneticPr fontId="2"/>
  </si>
  <si>
    <t>『鈴鹿関町史』上巻P.651
『亀山地方郷土史』第一巻P.421
『亀山市史』歴史分野
『亀山市史』通史　近世</t>
    <rPh sb="7" eb="9">
      <t>ジョウカン</t>
    </rPh>
    <rPh sb="34" eb="37">
      <t>カメヤマシ</t>
    </rPh>
    <rPh sb="37" eb="38">
      <t>シ</t>
    </rPh>
    <rPh sb="39" eb="41">
      <t>レキシ</t>
    </rPh>
    <rPh sb="41" eb="43">
      <t>ブンヤ</t>
    </rPh>
    <rPh sb="45" eb="47">
      <t>カメヤマ</t>
    </rPh>
    <rPh sb="47" eb="48">
      <t>シ</t>
    </rPh>
    <rPh sb="48" eb="49">
      <t>シ</t>
    </rPh>
    <rPh sb="50" eb="52">
      <t>ツウシ</t>
    </rPh>
    <rPh sb="53" eb="55">
      <t>キンセイ</t>
    </rPh>
    <phoneticPr fontId="2"/>
  </si>
  <si>
    <t>亀山のむかしばなし／こわいはなし／大洪水の話／亀山の大洪水</t>
    <rPh sb="18" eb="20">
      <t>コウズイ</t>
    </rPh>
    <rPh sb="27" eb="29">
      <t>コウズイ</t>
    </rPh>
    <phoneticPr fontId="2"/>
  </si>
  <si>
    <t>http://kameyamarekihaku.jp/kodomo/w_e_b/hanashi/mukashi/kozui/page001.html</t>
  </si>
  <si>
    <t>亀山城と宿場／４つの宿場／鈴鹿峠ふもとの宿場 坂下宿</t>
    <rPh sb="0" eb="3">
      <t>カメヤマジョウ</t>
    </rPh>
    <rPh sb="4" eb="12">
      <t>シュクバ・４ツノシュクバ</t>
    </rPh>
    <rPh sb="15" eb="16">
      <t>トウゲ</t>
    </rPh>
    <rPh sb="20" eb="22">
      <t>シュクバ</t>
    </rPh>
    <rPh sb="23" eb="25">
      <t>サカシタ</t>
    </rPh>
    <rPh sb="25" eb="26">
      <t>シュク</t>
    </rPh>
    <phoneticPr fontId="2"/>
  </si>
  <si>
    <t>亀山領内で大洪水、亀山城の銭庫・門・櫓が流失</t>
    <rPh sb="0" eb="2">
      <t>カメヤマ</t>
    </rPh>
    <rPh sb="2" eb="3">
      <t>リョウ</t>
    </rPh>
    <rPh sb="3" eb="4">
      <t>ナイ</t>
    </rPh>
    <rPh sb="5" eb="8">
      <t>ダイコウズイ</t>
    </rPh>
    <rPh sb="9" eb="11">
      <t>カメヤマ</t>
    </rPh>
    <rPh sb="11" eb="12">
      <t>シロ</t>
    </rPh>
    <rPh sb="13" eb="14">
      <t>ゼニ</t>
    </rPh>
    <rPh sb="14" eb="15">
      <t>クラ</t>
    </rPh>
    <rPh sb="16" eb="17">
      <t>モン</t>
    </rPh>
    <rPh sb="18" eb="19">
      <t>ヤグラ</t>
    </rPh>
    <rPh sb="20" eb="22">
      <t>リュウシツ</t>
    </rPh>
    <phoneticPr fontId="2"/>
  </si>
  <si>
    <t>本丸町</t>
    <rPh sb="0" eb="2">
      <t>ホンマル</t>
    </rPh>
    <rPh sb="2" eb="3">
      <t>チョウ</t>
    </rPh>
    <phoneticPr fontId="2"/>
  </si>
  <si>
    <t>『亀山地方郷土史』第一巻
『徳川実記』
『亀山市史』通史　近世
『亀山市史』歴史分野</t>
    <rPh sb="14" eb="16">
      <t>トクガワ</t>
    </rPh>
    <rPh sb="16" eb="18">
      <t>ジッキ</t>
    </rPh>
    <rPh sb="21" eb="24">
      <t>カメヤマシ</t>
    </rPh>
    <rPh sb="24" eb="25">
      <t>シ</t>
    </rPh>
    <rPh sb="26" eb="28">
      <t>ツウシ</t>
    </rPh>
    <rPh sb="29" eb="31">
      <t>キンセイ</t>
    </rPh>
    <rPh sb="33" eb="36">
      <t>カメヤマシ</t>
    </rPh>
    <rPh sb="36" eb="37">
      <t>シ</t>
    </rPh>
    <rPh sb="38" eb="40">
      <t>レキシ</t>
    </rPh>
    <rPh sb="40" eb="42">
      <t>ブンヤ</t>
    </rPh>
    <phoneticPr fontId="2"/>
  </si>
  <si>
    <t>慶安4</t>
  </si>
  <si>
    <t>坂下宿、現在の位置に復興</t>
    <rPh sb="0" eb="2">
      <t>サカシタ</t>
    </rPh>
    <rPh sb="2" eb="3">
      <t>シュク</t>
    </rPh>
    <rPh sb="4" eb="6">
      <t>ゲンザイ</t>
    </rPh>
    <rPh sb="7" eb="9">
      <t>イチ</t>
    </rPh>
    <rPh sb="10" eb="12">
      <t>フッコウ</t>
    </rPh>
    <phoneticPr fontId="2"/>
  </si>
  <si>
    <t>関町坂下</t>
    <phoneticPr fontId="2"/>
  </si>
  <si>
    <t>むかしの道と交通／亀山の近世の道</t>
    <phoneticPr fontId="2"/>
  </si>
  <si>
    <t>『鈴鹿関町史』上巻P.652
『亀山地方郷土史』第一巻P.422
『亀山市史』通史　近世</t>
    <rPh sb="7" eb="9">
      <t>ジョウカン</t>
    </rPh>
    <rPh sb="34" eb="37">
      <t>カメヤマシ</t>
    </rPh>
    <rPh sb="37" eb="38">
      <t>シ</t>
    </rPh>
    <rPh sb="39" eb="41">
      <t>ツウシ</t>
    </rPh>
    <rPh sb="42" eb="44">
      <t>キンセイ</t>
    </rPh>
    <phoneticPr fontId="2"/>
  </si>
  <si>
    <t>石川昌勝（憲之）亀山城主となる</t>
    <phoneticPr fontId="2"/>
  </si>
  <si>
    <t>石川昌勝（憲之）</t>
  </si>
  <si>
    <t>亀山城と宿場／江戸時代の亀山城主／石川昌勝</t>
    <rPh sb="0" eb="3">
      <t>カメヤマジョウ</t>
    </rPh>
    <rPh sb="4" eb="7">
      <t>シュクバ・</t>
    </rPh>
    <rPh sb="7" eb="11">
      <t>エドジダイ</t>
    </rPh>
    <rPh sb="12" eb="17">
      <t>カメヤマジョウシュ・</t>
    </rPh>
    <rPh sb="17" eb="21">
      <t>イシカワマサカツ</t>
    </rPh>
    <phoneticPr fontId="2"/>
  </si>
  <si>
    <t>http://kameyamarekihaku.jp/kodomo/w_e_b/syukuba/joushu-edo/page007.html</t>
  </si>
  <si>
    <t>『亀山地方郷土史』第二巻P.25
『亀山市史』歴史分野　近世ページ　亀山城主の移り変わり・年表
『亀山市史』通史　近世</t>
    <rPh sb="18" eb="21">
      <t>カメヤマシ</t>
    </rPh>
    <rPh sb="21" eb="22">
      <t>シ</t>
    </rPh>
    <rPh sb="23" eb="25">
      <t>レキシ</t>
    </rPh>
    <rPh sb="25" eb="27">
      <t>ブンヤ</t>
    </rPh>
    <rPh sb="28" eb="30">
      <t>キンセイ</t>
    </rPh>
    <rPh sb="34" eb="37">
      <t>カメヤマジョウ</t>
    </rPh>
    <rPh sb="37" eb="38">
      <t>シュ</t>
    </rPh>
    <rPh sb="39" eb="40">
      <t>ウツ</t>
    </rPh>
    <rPh sb="41" eb="42">
      <t>カ</t>
    </rPh>
    <rPh sb="49" eb="52">
      <t>カメヤマシ</t>
    </rPh>
    <rPh sb="52" eb="53">
      <t>シ</t>
    </rPh>
    <rPh sb="54" eb="56">
      <t>ツウシ</t>
    </rPh>
    <rPh sb="57" eb="59">
      <t>キンセイ</t>
    </rPh>
    <phoneticPr fontId="2"/>
  </si>
  <si>
    <t>承応2</t>
    <rPh sb="0" eb="2">
      <t>ジョウオウ</t>
    </rPh>
    <phoneticPr fontId="2"/>
  </si>
  <si>
    <t>山鹿素行、播磨赤穂へ赴く途中、関、鈴鹿峠を通過する</t>
    <rPh sb="0" eb="2">
      <t>ヤマガ</t>
    </rPh>
    <rPh sb="2" eb="4">
      <t>ソコウ</t>
    </rPh>
    <rPh sb="5" eb="7">
      <t>ハリマ</t>
    </rPh>
    <rPh sb="7" eb="9">
      <t>アコウ</t>
    </rPh>
    <rPh sb="10" eb="11">
      <t>オモム</t>
    </rPh>
    <rPh sb="12" eb="14">
      <t>トチュウ</t>
    </rPh>
    <rPh sb="15" eb="16">
      <t>セキ</t>
    </rPh>
    <rPh sb="17" eb="19">
      <t>スズカ</t>
    </rPh>
    <rPh sb="19" eb="20">
      <t>トウゲ</t>
    </rPh>
    <rPh sb="21" eb="23">
      <t>ツウカ</t>
    </rPh>
    <phoneticPr fontId="2"/>
  </si>
  <si>
    <t>山鹿素行</t>
    <rPh sb="0" eb="2">
      <t>ヤマガ</t>
    </rPh>
    <rPh sb="2" eb="4">
      <t>ソコウ</t>
    </rPh>
    <phoneticPr fontId="2"/>
  </si>
  <si>
    <t>『海道日記』</t>
    <rPh sb="1" eb="3">
      <t>カイドウ</t>
    </rPh>
    <rPh sb="3" eb="5">
      <t>ニッキ</t>
    </rPh>
    <phoneticPr fontId="2"/>
  </si>
  <si>
    <t>承応3</t>
  </si>
  <si>
    <t>亀山城本丸三重櫓の修理に際し、鯱瓦を取り替える</t>
  </si>
  <si>
    <t>亀山城と宿場／亀山城のつくり／櫓／三重櫓</t>
    <phoneticPr fontId="2"/>
  </si>
  <si>
    <t>http://kameyamarekihaku.jp/kodomo/w_e_b/syukuba/tsukuri/yagura/page001.html</t>
  </si>
  <si>
    <t>『亀山地方郷土史』第二巻P.103</t>
    <phoneticPr fontId="2"/>
  </si>
  <si>
    <t>明暦元</t>
  </si>
  <si>
    <t>守山宿で朝鮮通信使を接待する</t>
  </si>
  <si>
    <t>守山宿</t>
    <rPh sb="0" eb="2">
      <t>モリヤマ</t>
    </rPh>
    <rPh sb="2" eb="3">
      <t>シュク</t>
    </rPh>
    <phoneticPr fontId="2"/>
  </si>
  <si>
    <t>館蔵加藤家文書</t>
    <rPh sb="0" eb="2">
      <t>カンゾウ</t>
    </rPh>
    <rPh sb="2" eb="5">
      <t>カトウケ</t>
    </rPh>
    <rPh sb="5" eb="7">
      <t>モンジョ</t>
    </rPh>
    <phoneticPr fontId="2"/>
  </si>
  <si>
    <t>日本の歴史の中の亀山／近世の亀山／鎖国の中の海外／亀山城主と朝鮮通信使</t>
    <rPh sb="17" eb="19">
      <t>サコク</t>
    </rPh>
    <rPh sb="20" eb="21">
      <t>ナカ</t>
    </rPh>
    <rPh sb="22" eb="24">
      <t>カイガイ</t>
    </rPh>
    <rPh sb="25" eb="28">
      <t>カメヤマジョウ</t>
    </rPh>
    <rPh sb="28" eb="29">
      <t>シュ</t>
    </rPh>
    <rPh sb="30" eb="32">
      <t>チョウセン</t>
    </rPh>
    <rPh sb="32" eb="35">
      <t>ツウシンシ</t>
    </rPh>
    <phoneticPr fontId="2"/>
  </si>
  <si>
    <t>http://kameyamarekihaku.jp/kodomo/w_e_b/rekishi/kinsei/kaigai/page001.html</t>
  </si>
  <si>
    <t>『亀山地方郷土史』第二巻P.81
『亀山市史』通史　近世</t>
    <rPh sb="18" eb="21">
      <t>カメヤマシ</t>
    </rPh>
    <rPh sb="21" eb="22">
      <t>シ</t>
    </rPh>
    <rPh sb="23" eb="25">
      <t>ツウシ</t>
    </rPh>
    <rPh sb="26" eb="28">
      <t>キンセイ</t>
    </rPh>
    <phoneticPr fontId="2"/>
  </si>
  <si>
    <t>明暦2</t>
    <phoneticPr fontId="2"/>
  </si>
  <si>
    <t>藩主石川昌勝（憲之）本丸広間・料理の間を取り壊す</t>
    <rPh sb="0" eb="2">
      <t>ハンシュ</t>
    </rPh>
    <phoneticPr fontId="2"/>
  </si>
  <si>
    <t>亀山城と宿場／江戸時代の亀山城主／石川昌勝</t>
    <phoneticPr fontId="2"/>
  </si>
  <si>
    <t>『亀山地方郷土史』第二巻P.81
『九九五集』
『亀山市史』通史　近世</t>
    <rPh sb="18" eb="20">
      <t>クク</t>
    </rPh>
    <rPh sb="20" eb="21">
      <t>ゴ</t>
    </rPh>
    <rPh sb="21" eb="22">
      <t>シュウ</t>
    </rPh>
    <phoneticPr fontId="2"/>
  </si>
  <si>
    <t>万治3</t>
  </si>
  <si>
    <t>暴風雨により領内洪水、住山村百姓才兵エ、救済してもらえるよう藩に直訴をする</t>
    <rPh sb="0" eb="3">
      <t>ボウフウウ</t>
    </rPh>
    <rPh sb="6" eb="7">
      <t>リョウ</t>
    </rPh>
    <rPh sb="7" eb="8">
      <t>ナイ</t>
    </rPh>
    <rPh sb="8" eb="10">
      <t>コウズイ</t>
    </rPh>
    <rPh sb="20" eb="22">
      <t>キュウサイ</t>
    </rPh>
    <rPh sb="30" eb="31">
      <t>ハン</t>
    </rPh>
    <phoneticPr fontId="2"/>
  </si>
  <si>
    <t>住山町</t>
    <rPh sb="2" eb="3">
      <t>チョウ</t>
    </rPh>
    <phoneticPr fontId="2"/>
  </si>
  <si>
    <t>才兵エ</t>
  </si>
  <si>
    <t>『亀山地方郷土史』第二巻P.97
『鈴鹿関町史』上巻P.654
『亀山市史』通史　近世</t>
    <rPh sb="33" eb="36">
      <t>カメヤマシ</t>
    </rPh>
    <rPh sb="36" eb="37">
      <t>シ</t>
    </rPh>
    <rPh sb="38" eb="40">
      <t>ツウシ</t>
    </rPh>
    <rPh sb="41" eb="43">
      <t>キンセイ</t>
    </rPh>
    <phoneticPr fontId="2"/>
  </si>
  <si>
    <t>寛文2</t>
  </si>
  <si>
    <t>大地震がおこる（寛文近江若狭地震）</t>
    <rPh sb="0" eb="3">
      <t>オオジシン</t>
    </rPh>
    <rPh sb="8" eb="10">
      <t>カンブン</t>
    </rPh>
    <rPh sb="10" eb="12">
      <t>オウミ</t>
    </rPh>
    <rPh sb="12" eb="14">
      <t>ワカサ</t>
    </rPh>
    <rPh sb="14" eb="16">
      <t>ジシン</t>
    </rPh>
    <phoneticPr fontId="2"/>
  </si>
  <si>
    <t>『鈴鹿関町史』上巻P.654
『鈴鹿関町史』下巻年表
『亀山市史』通史　近世</t>
    <rPh sb="1" eb="3">
      <t>スズカ</t>
    </rPh>
    <rPh sb="3" eb="5">
      <t>セキチョウ</t>
    </rPh>
    <rPh sb="5" eb="6">
      <t>シ</t>
    </rPh>
    <rPh sb="7" eb="9">
      <t>ジョウカン</t>
    </rPh>
    <rPh sb="28" eb="30">
      <t>カメヤマ</t>
    </rPh>
    <rPh sb="30" eb="31">
      <t>シ</t>
    </rPh>
    <rPh sb="31" eb="32">
      <t>シ</t>
    </rPh>
    <rPh sb="33" eb="35">
      <t>ツウシ</t>
    </rPh>
    <rPh sb="36" eb="38">
      <t>キンセイ</t>
    </rPh>
    <phoneticPr fontId="2"/>
  </si>
  <si>
    <t>寛文3</t>
  </si>
  <si>
    <t>関宿中町大火110戸を焼失（味噌屋火事）</t>
    <rPh sb="0" eb="1">
      <t>セキ</t>
    </rPh>
    <rPh sb="1" eb="2">
      <t>ヤド</t>
    </rPh>
    <rPh sb="2" eb="4">
      <t>ナカマチ</t>
    </rPh>
    <rPh sb="4" eb="6">
      <t>タイカ</t>
    </rPh>
    <rPh sb="9" eb="10">
      <t>コ</t>
    </rPh>
    <rPh sb="11" eb="13">
      <t>ショウシツ</t>
    </rPh>
    <rPh sb="14" eb="16">
      <t>ミソ</t>
    </rPh>
    <rPh sb="16" eb="17">
      <t>ヤ</t>
    </rPh>
    <rPh sb="17" eb="19">
      <t>カジ</t>
    </rPh>
    <phoneticPr fontId="2"/>
  </si>
  <si>
    <t>関町中町</t>
    <rPh sb="2" eb="4">
      <t>ナカマチ</t>
    </rPh>
    <phoneticPr fontId="2"/>
  </si>
  <si>
    <t>関町中町</t>
    <phoneticPr fontId="2"/>
  </si>
  <si>
    <t>小三郎</t>
    <rPh sb="0" eb="1">
      <t>コ</t>
    </rPh>
    <rPh sb="1" eb="3">
      <t>サブロウ</t>
    </rPh>
    <phoneticPr fontId="2"/>
  </si>
  <si>
    <t>画像史料：御由緒之覚（関町川北久左衛門儀）（市史近世・近代・現代史料データベース　京都市個人Ⅰ所蔵3-49）</t>
    <rPh sb="0" eb="2">
      <t>ガゾウ</t>
    </rPh>
    <rPh sb="2" eb="4">
      <t>シリョウ</t>
    </rPh>
    <rPh sb="5" eb="6">
      <t>ゴ</t>
    </rPh>
    <rPh sb="6" eb="8">
      <t>ユイショ</t>
    </rPh>
    <rPh sb="8" eb="9">
      <t>ノ</t>
    </rPh>
    <rPh sb="9" eb="10">
      <t>オボエ</t>
    </rPh>
    <rPh sb="11" eb="13">
      <t>セキチョウ</t>
    </rPh>
    <rPh sb="13" eb="15">
      <t>カワキタ</t>
    </rPh>
    <rPh sb="15" eb="19">
      <t>キュウザエモン</t>
    </rPh>
    <rPh sb="19" eb="20">
      <t>ギ</t>
    </rPh>
    <rPh sb="22" eb="23">
      <t>シ</t>
    </rPh>
    <rPh sb="23" eb="24">
      <t>シ</t>
    </rPh>
    <rPh sb="24" eb="26">
      <t>キンセイ</t>
    </rPh>
    <rPh sb="27" eb="29">
      <t>キンダイ</t>
    </rPh>
    <rPh sb="30" eb="34">
      <t>ゲンダイシリョウ</t>
    </rPh>
    <rPh sb="41" eb="44">
      <t>キョウトシ</t>
    </rPh>
    <rPh sb="44" eb="46">
      <t>コジン</t>
    </rPh>
    <rPh sb="47" eb="49">
      <t>ショゾウ</t>
    </rPh>
    <phoneticPr fontId="2"/>
  </si>
  <si>
    <t>『鈴鹿関町史』上巻P.645</t>
    <phoneticPr fontId="2"/>
  </si>
  <si>
    <t>寛文4</t>
  </si>
  <si>
    <t>新所村で新田開発をする</t>
  </si>
  <si>
    <t>関町新所</t>
    <phoneticPr fontId="2"/>
  </si>
  <si>
    <t>九々五集(半田写本) 巻第二（条目・証印部二　81/122）</t>
    <rPh sb="11" eb="12">
      <t>カン</t>
    </rPh>
    <rPh sb="12" eb="13">
      <t>ダイ</t>
    </rPh>
    <rPh sb="13" eb="14">
      <t>２</t>
    </rPh>
    <rPh sb="15" eb="17">
      <t>ジョウモク</t>
    </rPh>
    <rPh sb="18" eb="19">
      <t>ショウ</t>
    </rPh>
    <rPh sb="19" eb="20">
      <t>イン</t>
    </rPh>
    <rPh sb="20" eb="21">
      <t>ブ</t>
    </rPh>
    <rPh sb="21" eb="22">
      <t>２</t>
    </rPh>
    <phoneticPr fontId="2"/>
  </si>
  <si>
    <t>日本の歴史の中の亀山／近世の亀山／農業や諸産業の発達／新田の状況</t>
    <rPh sb="17" eb="19">
      <t>ノウギョウ</t>
    </rPh>
    <rPh sb="20" eb="23">
      <t>ショサンギョウ</t>
    </rPh>
    <rPh sb="24" eb="26">
      <t>ハッタツ</t>
    </rPh>
    <rPh sb="27" eb="29">
      <t>シンデン</t>
    </rPh>
    <rPh sb="30" eb="32">
      <t>ジョウキョウ</t>
    </rPh>
    <phoneticPr fontId="2"/>
  </si>
  <si>
    <t>『亀山地方郷土史』第二巻P.91
『亀山市史』通史　近世</t>
    <rPh sb="17" eb="28">
      <t>キ</t>
    </rPh>
    <phoneticPr fontId="2"/>
  </si>
  <si>
    <t>寛文5</t>
  </si>
  <si>
    <t>木崎村で新田開発をする</t>
  </si>
  <si>
    <t>関町木崎</t>
    <phoneticPr fontId="2"/>
  </si>
  <si>
    <t>日本の歴史の中の亀山／近世の亀山／農業や諸産業の発達／新田の状況</t>
    <phoneticPr fontId="2"/>
  </si>
  <si>
    <t>『亀山地方郷土史』第二巻P.92</t>
    <phoneticPr fontId="2"/>
  </si>
  <si>
    <t>（不詳）</t>
  </si>
  <si>
    <t>白木村・沓掛村境界争い起こる</t>
  </si>
  <si>
    <t>白木町・関町白木一色・関町沓掛</t>
    <rPh sb="0" eb="3">
      <t>シラキチョウ</t>
    </rPh>
    <rPh sb="8" eb="10">
      <t>イッシキ</t>
    </rPh>
    <phoneticPr fontId="2"/>
  </si>
  <si>
    <t>『亀山地方郷土史』第二巻P.98</t>
    <phoneticPr fontId="2"/>
  </si>
  <si>
    <t>寛文7</t>
  </si>
  <si>
    <t>飢饉がおこる</t>
  </si>
  <si>
    <t>寛文9</t>
  </si>
  <si>
    <t>石川昌勝（憲之）に代わり、板倉重常が亀山城へ入封</t>
  </si>
  <si>
    <t>石川昌勝（憲之）板倉重常</t>
  </si>
  <si>
    <t>亀山城と宿場／江戸時代の亀山城主／板倉重常・重冬・重治</t>
    <rPh sb="17" eb="19">
      <t>イタクラ</t>
    </rPh>
    <rPh sb="19" eb="20">
      <t>シゲ</t>
    </rPh>
    <rPh sb="20" eb="21">
      <t>ツネ</t>
    </rPh>
    <rPh sb="22" eb="23">
      <t>シゲ</t>
    </rPh>
    <rPh sb="23" eb="24">
      <t>フユ</t>
    </rPh>
    <rPh sb="25" eb="27">
      <t>シゲハル</t>
    </rPh>
    <phoneticPr fontId="2"/>
  </si>
  <si>
    <t>http://kameyamarekihaku.jp/kodomo/w_e_b/syukuba/joushu-edo/page008.html</t>
  </si>
  <si>
    <t xml:space="preserve">『亀山地方郷土史』第二巻
『亀山市史』通史　近世
『亀山市史』歴史分野　近世ページ亀山城主の移り変わり・年表
</t>
    <rPh sb="13" eb="24">
      <t>キ</t>
    </rPh>
    <rPh sb="25" eb="54">
      <t>ジョウシュ</t>
    </rPh>
    <phoneticPr fontId="2"/>
  </si>
  <si>
    <t>安知本・田茂・三寺・中庄・下庄・楠平尾が久居領になる</t>
  </si>
  <si>
    <t>亀山南・昼生</t>
    <phoneticPr fontId="2"/>
  </si>
  <si>
    <t>安知本町・田茂町・三寺町・中庄町・下庄町・楠平尾町</t>
    <rPh sb="3" eb="4">
      <t>チョウ</t>
    </rPh>
    <rPh sb="7" eb="8">
      <t>チョウ</t>
    </rPh>
    <rPh sb="11" eb="12">
      <t>チョウ</t>
    </rPh>
    <rPh sb="15" eb="16">
      <t>チョウ</t>
    </rPh>
    <rPh sb="19" eb="20">
      <t>チョウ</t>
    </rPh>
    <rPh sb="24" eb="25">
      <t>チョウ</t>
    </rPh>
    <phoneticPr fontId="2"/>
  </si>
  <si>
    <t>伊勢国三重・河曲・鈴鹿・安芸四郡之図</t>
    <rPh sb="0" eb="3">
      <t>イセコク</t>
    </rPh>
    <rPh sb="3" eb="5">
      <t>ミエ</t>
    </rPh>
    <rPh sb="6" eb="8">
      <t>カワノ</t>
    </rPh>
    <rPh sb="9" eb="11">
      <t>スズカ</t>
    </rPh>
    <rPh sb="12" eb="14">
      <t>アキ</t>
    </rPh>
    <rPh sb="14" eb="15">
      <t>ヨン</t>
    </rPh>
    <rPh sb="15" eb="16">
      <t>コオリ</t>
    </rPh>
    <rPh sb="16" eb="17">
      <t>コレ</t>
    </rPh>
    <rPh sb="17" eb="18">
      <t>ズ</t>
    </rPh>
    <phoneticPr fontId="2"/>
  </si>
  <si>
    <t>『亀山市史』歴史分野　近世ページ・江戸時代の石高一覧</t>
    <rPh sb="1" eb="4">
      <t>カメヤマシ</t>
    </rPh>
    <rPh sb="4" eb="5">
      <t>シ</t>
    </rPh>
    <rPh sb="6" eb="8">
      <t>レキシ</t>
    </rPh>
    <rPh sb="8" eb="10">
      <t>ブンヤ</t>
    </rPh>
    <rPh sb="11" eb="13">
      <t>キンセイ</t>
    </rPh>
    <rPh sb="17" eb="19">
      <t>エド</t>
    </rPh>
    <rPh sb="19" eb="21">
      <t>ジダイ</t>
    </rPh>
    <rPh sb="22" eb="24">
      <t>コクダカ</t>
    </rPh>
    <rPh sb="24" eb="26">
      <t>イチラン</t>
    </rPh>
    <phoneticPr fontId="2"/>
  </si>
  <si>
    <t>身分による支配がしだいにきびしくなる</t>
  </si>
  <si>
    <t>日本の歴史の中の亀山／近世の亀山／江戸幕府の成立と鎖国／身分による差別</t>
    <rPh sb="28" eb="30">
      <t>ミブン</t>
    </rPh>
    <rPh sb="33" eb="35">
      <t>サベツ</t>
    </rPh>
    <phoneticPr fontId="2"/>
  </si>
  <si>
    <t>http://kameyamarekihaku.jp/kodomo/w_e_b/rekishi/kinsei/edobakuhu/page006.html</t>
  </si>
  <si>
    <t>天和2</t>
  </si>
  <si>
    <t>豪雨のため加太梶ケ坂常光寺山崩れる</t>
    <rPh sb="0" eb="2">
      <t>ゴウウ</t>
    </rPh>
    <rPh sb="5" eb="7">
      <t>カブト</t>
    </rPh>
    <rPh sb="7" eb="8">
      <t>カジ</t>
    </rPh>
    <rPh sb="9" eb="10">
      <t>サカ</t>
    </rPh>
    <rPh sb="10" eb="11">
      <t>ツネ</t>
    </rPh>
    <rPh sb="11" eb="12">
      <t>ヒカリ</t>
    </rPh>
    <rPh sb="12" eb="13">
      <t>テラ</t>
    </rPh>
    <rPh sb="13" eb="14">
      <t>ヤマ</t>
    </rPh>
    <rPh sb="14" eb="15">
      <t>クズ</t>
    </rPh>
    <phoneticPr fontId="2"/>
  </si>
  <si>
    <t>加太梶ケ坂</t>
    <rPh sb="0" eb="2">
      <t>カブト</t>
    </rPh>
    <phoneticPr fontId="2"/>
  </si>
  <si>
    <t>『鈴鹿関町史』下巻年表P.866</t>
    <rPh sb="7" eb="8">
      <t>シタ</t>
    </rPh>
    <rPh sb="9" eb="11">
      <t>ネンピョウ</t>
    </rPh>
    <phoneticPr fontId="2"/>
  </si>
  <si>
    <t>守山宿</t>
    <phoneticPr fontId="2"/>
  </si>
  <si>
    <t>日本の歴史の中の亀山／近世の亀山／鎖国の中の海外／亀山城主と朝鮮通信使</t>
    <rPh sb="17" eb="19">
      <t>サコク</t>
    </rPh>
    <rPh sb="20" eb="21">
      <t>ナカ</t>
    </rPh>
    <rPh sb="22" eb="24">
      <t>カイガイ</t>
    </rPh>
    <rPh sb="25" eb="29">
      <t>カメヤマジョウシュ</t>
    </rPh>
    <rPh sb="30" eb="35">
      <t>チョウセンツウシンシ</t>
    </rPh>
    <phoneticPr fontId="2"/>
  </si>
  <si>
    <t>『亀山市史』歴史分野　近世ページ　年表
『亀山市史』通史　近世</t>
    <rPh sb="1" eb="4">
      <t>カメヤマシ</t>
    </rPh>
    <rPh sb="4" eb="5">
      <t>シ</t>
    </rPh>
    <rPh sb="6" eb="8">
      <t>レキシ</t>
    </rPh>
    <rPh sb="8" eb="10">
      <t>ブンヤ</t>
    </rPh>
    <rPh sb="11" eb="13">
      <t>キンセイ</t>
    </rPh>
    <rPh sb="17" eb="19">
      <t>ネンピョウ</t>
    </rPh>
    <rPh sb="21" eb="24">
      <t>カメヤマシ</t>
    </rPh>
    <rPh sb="24" eb="25">
      <t>シ</t>
    </rPh>
    <rPh sb="26" eb="28">
      <t>ツウシ</t>
    </rPh>
    <rPh sb="29" eb="31">
      <t>キンセイ</t>
    </rPh>
    <phoneticPr fontId="2"/>
  </si>
  <si>
    <t>橋爪休意、天和元年の洪水で壊滅した木崎村古川の堤を自費で修復し新田開発する</t>
    <rPh sb="0" eb="2">
      <t>ハシヅメ</t>
    </rPh>
    <rPh sb="2" eb="3">
      <t>ヤス</t>
    </rPh>
    <rPh sb="3" eb="4">
      <t>イ</t>
    </rPh>
    <rPh sb="5" eb="7">
      <t>テンワ</t>
    </rPh>
    <rPh sb="7" eb="9">
      <t>ガンネン</t>
    </rPh>
    <rPh sb="10" eb="12">
      <t>コウズイ</t>
    </rPh>
    <rPh sb="13" eb="15">
      <t>カイメツ</t>
    </rPh>
    <rPh sb="17" eb="19">
      <t>コザキ</t>
    </rPh>
    <rPh sb="19" eb="20">
      <t>ムラ</t>
    </rPh>
    <rPh sb="20" eb="22">
      <t>フルカワ</t>
    </rPh>
    <rPh sb="23" eb="24">
      <t>ツツミ</t>
    </rPh>
    <rPh sb="25" eb="27">
      <t>ジヒ</t>
    </rPh>
    <rPh sb="28" eb="30">
      <t>シュウフク</t>
    </rPh>
    <rPh sb="31" eb="33">
      <t>シンデン</t>
    </rPh>
    <rPh sb="33" eb="35">
      <t>カイハツ</t>
    </rPh>
    <phoneticPr fontId="2"/>
  </si>
  <si>
    <t>関町木崎</t>
    <rPh sb="0" eb="2">
      <t>セキチョウ</t>
    </rPh>
    <rPh sb="2" eb="4">
      <t>コザキ</t>
    </rPh>
    <phoneticPr fontId="2"/>
  </si>
  <si>
    <t>木崎村古川</t>
    <phoneticPr fontId="2"/>
  </si>
  <si>
    <t>橋爪休意</t>
    <rPh sb="0" eb="2">
      <t>ハシヅメ</t>
    </rPh>
    <rPh sb="2" eb="3">
      <t>キュウ</t>
    </rPh>
    <rPh sb="3" eb="4">
      <t>イ</t>
    </rPh>
    <phoneticPr fontId="2"/>
  </si>
  <si>
    <t>よりよい地域を作った人々／江戸時代の新田開発の中心となった人物</t>
    <rPh sb="4" eb="6">
      <t>チイキ</t>
    </rPh>
    <rPh sb="7" eb="8">
      <t>ツク</t>
    </rPh>
    <rPh sb="10" eb="12">
      <t>ヒトビト</t>
    </rPh>
    <rPh sb="13" eb="15">
      <t>エド</t>
    </rPh>
    <rPh sb="15" eb="17">
      <t>ジダイ</t>
    </rPh>
    <rPh sb="18" eb="20">
      <t>シンデン</t>
    </rPh>
    <rPh sb="20" eb="22">
      <t>カイハツ</t>
    </rPh>
    <rPh sb="23" eb="25">
      <t>チュウシン</t>
    </rPh>
    <rPh sb="29" eb="31">
      <t>ジンブツ</t>
    </rPh>
    <phoneticPr fontId="2"/>
  </si>
  <si>
    <t>http://kameyamarekihaku.jp/kodomo/w_e_b/chiiki/page001.html</t>
  </si>
  <si>
    <t>『亀山市史』通史 近世
『鈴鹿関町史』下巻年表P.866</t>
    <phoneticPr fontId="2"/>
  </si>
  <si>
    <t>日本の歴史の中の亀山／近世の亀山／農業や諸産業の発達／新田の状況</t>
    <phoneticPr fontId="2"/>
  </si>
  <si>
    <t>日本の歴史の中の亀山／近世の亀山／都市の繁栄と元禄文化／商家の江戸屋敷</t>
    <rPh sb="0" eb="2">
      <t>ニホン</t>
    </rPh>
    <rPh sb="11" eb="13">
      <t>キンセイ</t>
    </rPh>
    <rPh sb="14" eb="17">
      <t>カメヤマ・</t>
    </rPh>
    <rPh sb="17" eb="19">
      <t>トシ</t>
    </rPh>
    <rPh sb="20" eb="22">
      <t>ハンエイ</t>
    </rPh>
    <rPh sb="23" eb="27">
      <t>ゲンロクブンカ</t>
    </rPh>
    <rPh sb="28" eb="30">
      <t>ショウカ</t>
    </rPh>
    <rPh sb="31" eb="35">
      <t>エドヤシキ</t>
    </rPh>
    <phoneticPr fontId="2"/>
  </si>
  <si>
    <t>http://kameyamarekihaku.jp/kodomo/w_e_b/rekishi/kinsei/genroku/page002.html</t>
  </si>
  <si>
    <t>天和4</t>
    <phoneticPr fontId="2"/>
  </si>
  <si>
    <t>関西の端で出火、11軒焼失</t>
    <rPh sb="0" eb="1">
      <t>セキ</t>
    </rPh>
    <rPh sb="1" eb="2">
      <t>ニシ</t>
    </rPh>
    <rPh sb="3" eb="4">
      <t>ハシ</t>
    </rPh>
    <rPh sb="5" eb="7">
      <t>シュッカ</t>
    </rPh>
    <rPh sb="10" eb="11">
      <t>ケン</t>
    </rPh>
    <rPh sb="11" eb="13">
      <t>ショウシツ</t>
    </rPh>
    <phoneticPr fontId="2"/>
  </si>
  <si>
    <t>関町新所</t>
    <rPh sb="2" eb="3">
      <t>シン</t>
    </rPh>
    <rPh sb="3" eb="4">
      <t>ショ</t>
    </rPh>
    <phoneticPr fontId="2"/>
  </si>
  <si>
    <t>『鈴鹿関町史』下巻年表P.867</t>
    <rPh sb="7" eb="8">
      <t>シタ</t>
    </rPh>
    <rPh sb="9" eb="11">
      <t>ネンピョウ</t>
    </rPh>
    <phoneticPr fontId="2"/>
  </si>
  <si>
    <t>貞享2</t>
    <phoneticPr fontId="2"/>
  </si>
  <si>
    <t>松尾芭蕉、鈴鹿山の句を詠む</t>
    <rPh sb="0" eb="2">
      <t>マツオ</t>
    </rPh>
    <rPh sb="2" eb="4">
      <t>バショウ</t>
    </rPh>
    <rPh sb="5" eb="7">
      <t>スズカ</t>
    </rPh>
    <rPh sb="7" eb="8">
      <t>ヤマ</t>
    </rPh>
    <rPh sb="9" eb="10">
      <t>ク</t>
    </rPh>
    <rPh sb="11" eb="12">
      <t>ヨ</t>
    </rPh>
    <phoneticPr fontId="2"/>
  </si>
  <si>
    <t>関町坂下</t>
    <phoneticPr fontId="2"/>
  </si>
  <si>
    <t>松尾芭蕉</t>
    <rPh sb="0" eb="2">
      <t>マツオ</t>
    </rPh>
    <rPh sb="2" eb="4">
      <t>バショウ</t>
    </rPh>
    <phoneticPr fontId="2"/>
  </si>
  <si>
    <t>松尾芭蕉句碑</t>
    <rPh sb="0" eb="2">
      <t>マツオ</t>
    </rPh>
    <rPh sb="2" eb="4">
      <t>バショウ</t>
    </rPh>
    <rPh sb="4" eb="6">
      <t>クヒ</t>
    </rPh>
    <phoneticPr fontId="2"/>
  </si>
  <si>
    <t>『梅若集』
『亀山市史』考古分野</t>
    <rPh sb="1" eb="2">
      <t>ウメ</t>
    </rPh>
    <rPh sb="2" eb="3">
      <t>ワカ</t>
    </rPh>
    <rPh sb="3" eb="4">
      <t>シュウ</t>
    </rPh>
    <rPh sb="7" eb="10">
      <t>カメヤマシ</t>
    </rPh>
    <rPh sb="10" eb="11">
      <t>シ</t>
    </rPh>
    <rPh sb="12" eb="14">
      <t>コウコ</t>
    </rPh>
    <rPh sb="14" eb="16">
      <t>ブンヤ</t>
    </rPh>
    <phoneticPr fontId="2"/>
  </si>
  <si>
    <t>貞享3</t>
    <phoneticPr fontId="2"/>
  </si>
  <si>
    <t>関新所で出火、32軒焼失</t>
    <rPh sb="0" eb="1">
      <t>セキ</t>
    </rPh>
    <rPh sb="1" eb="2">
      <t>シン</t>
    </rPh>
    <rPh sb="2" eb="3">
      <t>ショ</t>
    </rPh>
    <rPh sb="4" eb="6">
      <t>シュッカ</t>
    </rPh>
    <rPh sb="9" eb="10">
      <t>ケン</t>
    </rPh>
    <rPh sb="10" eb="12">
      <t>ショウシツ</t>
    </rPh>
    <phoneticPr fontId="2"/>
  </si>
  <si>
    <t>『鈴鹿関町史』上巻P.646</t>
    <rPh sb="1" eb="3">
      <t>スズカ</t>
    </rPh>
    <rPh sb="3" eb="5">
      <t>セキチョウ</t>
    </rPh>
    <rPh sb="5" eb="6">
      <t>シ</t>
    </rPh>
    <rPh sb="7" eb="9">
      <t>ジョウカン</t>
    </rPh>
    <phoneticPr fontId="2"/>
  </si>
  <si>
    <t>元禄元</t>
  </si>
  <si>
    <t>板倉重冬、亀山城主になる</t>
  </si>
  <si>
    <t>板倉重冬</t>
  </si>
  <si>
    <t>画像史料：『坂家覚書』（市史近世・近代・現代史料データベース　加太板屋個人Ⅰ所蔵1-11）</t>
    <rPh sb="0" eb="2">
      <t>ガゾウ</t>
    </rPh>
    <rPh sb="2" eb="4">
      <t>シリョウ</t>
    </rPh>
    <rPh sb="12" eb="13">
      <t>シ</t>
    </rPh>
    <rPh sb="13" eb="14">
      <t>シ</t>
    </rPh>
    <rPh sb="14" eb="16">
      <t>キンセイ</t>
    </rPh>
    <rPh sb="17" eb="19">
      <t>キンダイ</t>
    </rPh>
    <rPh sb="20" eb="24">
      <t>ゲンダイシリョウ</t>
    </rPh>
    <rPh sb="31" eb="35">
      <t>カブトイタヤ</t>
    </rPh>
    <rPh sb="35" eb="37">
      <t>コジン</t>
    </rPh>
    <rPh sb="38" eb="40">
      <t>ショゾウ</t>
    </rPh>
    <phoneticPr fontId="2"/>
  </si>
  <si>
    <t>亀山城と宿場／江戸時代の亀山城主／板倉重常・重冬・重治</t>
    <phoneticPr fontId="2"/>
  </si>
  <si>
    <t>『亀山市史』歴史分野　近世ページ亀山城主の移り変わり・年表
『亀山市史』歴史分野</t>
    <rPh sb="0" eb="29">
      <t>ジョウシュ</t>
    </rPh>
    <rPh sb="31" eb="34">
      <t>カメヤマシ</t>
    </rPh>
    <rPh sb="34" eb="35">
      <t>シ</t>
    </rPh>
    <rPh sb="36" eb="38">
      <t>レキシ</t>
    </rPh>
    <rPh sb="38" eb="40">
      <t>ブンヤ</t>
    </rPh>
    <phoneticPr fontId="2"/>
  </si>
  <si>
    <t>元禄4</t>
    <phoneticPr fontId="2"/>
  </si>
  <si>
    <t>オランダ商館長ケンペル、坂下・関・亀山を通過</t>
    <rPh sb="4" eb="6">
      <t>ショウカン</t>
    </rPh>
    <rPh sb="6" eb="7">
      <t>チョウ</t>
    </rPh>
    <rPh sb="12" eb="14">
      <t>サカシタ</t>
    </rPh>
    <rPh sb="15" eb="16">
      <t>セキ</t>
    </rPh>
    <rPh sb="17" eb="19">
      <t>カメヤマ</t>
    </rPh>
    <rPh sb="20" eb="22">
      <t>ツウカ</t>
    </rPh>
    <phoneticPr fontId="2"/>
  </si>
  <si>
    <t>亀山西・関</t>
    <rPh sb="0" eb="2">
      <t>カメヤマ</t>
    </rPh>
    <rPh sb="2" eb="3">
      <t>ニシ</t>
    </rPh>
    <rPh sb="4" eb="5">
      <t>セキ</t>
    </rPh>
    <phoneticPr fontId="2"/>
  </si>
  <si>
    <t>ケンペル</t>
    <phoneticPr fontId="2"/>
  </si>
  <si>
    <t>『江戸参府紀行』</t>
    <rPh sb="1" eb="3">
      <t>エド</t>
    </rPh>
    <rPh sb="3" eb="5">
      <t>サンプ</t>
    </rPh>
    <rPh sb="5" eb="7">
      <t>キコウ</t>
    </rPh>
    <phoneticPr fontId="2"/>
  </si>
  <si>
    <t>元禄8</t>
  </si>
  <si>
    <t>洪水おこる、この年の助郷免除</t>
    <rPh sb="8" eb="9">
      <t>トシ</t>
    </rPh>
    <rPh sb="10" eb="11">
      <t>スケ</t>
    </rPh>
    <rPh sb="11" eb="12">
      <t>ゴウ</t>
    </rPh>
    <rPh sb="12" eb="14">
      <t>メンジョ</t>
    </rPh>
    <phoneticPr fontId="2"/>
  </si>
  <si>
    <t>関地蔵院の本尊が江戸で出開帳</t>
    <rPh sb="0" eb="3">
      <t>セキジゾウ</t>
    </rPh>
    <rPh sb="3" eb="4">
      <t>イン</t>
    </rPh>
    <rPh sb="5" eb="7">
      <t>ホンゾン</t>
    </rPh>
    <rPh sb="8" eb="10">
      <t>エド</t>
    </rPh>
    <rPh sb="11" eb="12">
      <t>デ</t>
    </rPh>
    <rPh sb="12" eb="14">
      <t>カイチョウ</t>
    </rPh>
    <phoneticPr fontId="2"/>
  </si>
  <si>
    <t>関地蔵院</t>
    <rPh sb="0" eb="3">
      <t>セキジゾウ</t>
    </rPh>
    <rPh sb="3" eb="4">
      <t>イン</t>
    </rPh>
    <phoneticPr fontId="2"/>
  </si>
  <si>
    <t>『亀山地方郷土史』第二巻P.226
図録『関の地蔵院』</t>
    <rPh sb="18" eb="20">
      <t>ズロク</t>
    </rPh>
    <rPh sb="21" eb="22">
      <t>セキ</t>
    </rPh>
    <rPh sb="23" eb="25">
      <t>ジゾウ</t>
    </rPh>
    <rPh sb="25" eb="26">
      <t>イン</t>
    </rPh>
    <phoneticPr fontId="2"/>
  </si>
  <si>
    <t>大阪・京都を中心に町人の文化が栄える</t>
  </si>
  <si>
    <t>元禄9</t>
  </si>
  <si>
    <t>橋爪休意、新所村鐘鋳場に新田を開発する</t>
    <phoneticPr fontId="2"/>
  </si>
  <si>
    <t>関町新所</t>
    <phoneticPr fontId="2"/>
  </si>
  <si>
    <t>新所村鐘鋳場</t>
    <phoneticPr fontId="2"/>
  </si>
  <si>
    <t>橋爪休意</t>
  </si>
  <si>
    <t>九々五集(半田写本)　巻第二（条目・証印部二）80/122</t>
    <rPh sb="11" eb="14">
      <t>カンダイ２</t>
    </rPh>
    <rPh sb="15" eb="17">
      <t>ジョウモク</t>
    </rPh>
    <rPh sb="18" eb="21">
      <t>ショウインブ</t>
    </rPh>
    <rPh sb="21" eb="22">
      <t>２</t>
    </rPh>
    <phoneticPr fontId="2"/>
  </si>
  <si>
    <t>よりよい地域を作った人々／江戸時代の新田開発の中心となった人物</t>
    <phoneticPr fontId="2"/>
  </si>
  <si>
    <t>『亀山市史』通史 近世
『鈴鹿関町史』上巻P.583</t>
    <rPh sb="6" eb="8">
      <t>ツウシ</t>
    </rPh>
    <rPh sb="13" eb="15">
      <t>スズカ</t>
    </rPh>
    <rPh sb="15" eb="17">
      <t>セキチョウ</t>
    </rPh>
    <rPh sb="17" eb="18">
      <t>シ</t>
    </rPh>
    <rPh sb="19" eb="21">
      <t>ジョウカン</t>
    </rPh>
    <phoneticPr fontId="2"/>
  </si>
  <si>
    <t>日本の歴史の中の亀山／近世の亀山／農業や諸産業の発達／新田の状況</t>
    <phoneticPr fontId="2"/>
  </si>
  <si>
    <t>日本の歴史の中の亀山／近世の亀山／都市の繁栄と元禄文化／商家の江戸屋敷</t>
    <phoneticPr fontId="2"/>
  </si>
  <si>
    <t>元禄10</t>
    <rPh sb="0" eb="2">
      <t>ゲンロク</t>
    </rPh>
    <phoneticPr fontId="2"/>
  </si>
  <si>
    <t>地蔵院本尊江戸出開帳</t>
    <rPh sb="0" eb="2">
      <t>ジゾウ</t>
    </rPh>
    <rPh sb="2" eb="3">
      <t>イン</t>
    </rPh>
    <rPh sb="3" eb="5">
      <t>ホンゾン</t>
    </rPh>
    <rPh sb="5" eb="7">
      <t>エド</t>
    </rPh>
    <rPh sb="7" eb="8">
      <t>デ</t>
    </rPh>
    <rPh sb="8" eb="10">
      <t>カイチョウ</t>
    </rPh>
    <phoneticPr fontId="2"/>
  </si>
  <si>
    <t>亀山のいいとこさがし／景色のよいところや歴史を知る手掛かりとなるもの／関宿のまちなみ／新所のまちなみ／地蔵院本堂・鐘楼・愛染堂</t>
    <phoneticPr fontId="2"/>
  </si>
  <si>
    <t>『鈴鹿関町史』上巻P.671
図録『関の地蔵院』</t>
    <rPh sb="7" eb="9">
      <t>ジョウカン</t>
    </rPh>
    <phoneticPr fontId="2"/>
  </si>
  <si>
    <t>元禄13</t>
    <rPh sb="0" eb="2">
      <t>ゲンロク</t>
    </rPh>
    <phoneticPr fontId="2"/>
  </si>
  <si>
    <t>地蔵院本堂落成</t>
    <rPh sb="0" eb="2">
      <t>ジゾウ</t>
    </rPh>
    <rPh sb="2" eb="3">
      <t>イン</t>
    </rPh>
    <rPh sb="3" eb="5">
      <t>ホンドウ</t>
    </rPh>
    <rPh sb="5" eb="7">
      <t>ラクセイ</t>
    </rPh>
    <phoneticPr fontId="2"/>
  </si>
  <si>
    <t>亀山のいいとこさがし／建物</t>
    <phoneticPr fontId="2"/>
  </si>
  <si>
    <t>亀山のいいとこさがし／景色のよいところや歴史を知る手掛かりとなるもの／関宿のまちなみ／新所のまちなみ／地蔵院本堂・鐘楼・愛染堂</t>
    <phoneticPr fontId="2"/>
  </si>
  <si>
    <t>蘭学・国学など新しい学問がおこる</t>
  </si>
  <si>
    <t>元禄14</t>
    <phoneticPr fontId="2"/>
  </si>
  <si>
    <t>洪水おこる、太岡寺畷決壊、木崎地内水損</t>
    <rPh sb="6" eb="7">
      <t>フト</t>
    </rPh>
    <rPh sb="7" eb="8">
      <t>オカ</t>
    </rPh>
    <rPh sb="8" eb="9">
      <t>テラ</t>
    </rPh>
    <rPh sb="9" eb="10">
      <t>ナワテ</t>
    </rPh>
    <rPh sb="10" eb="12">
      <t>ケッカイ</t>
    </rPh>
    <rPh sb="13" eb="15">
      <t>コザキ</t>
    </rPh>
    <rPh sb="15" eb="16">
      <t>チ</t>
    </rPh>
    <rPh sb="16" eb="17">
      <t>ナイ</t>
    </rPh>
    <rPh sb="17" eb="19">
      <t>スイソン</t>
    </rPh>
    <phoneticPr fontId="2"/>
  </si>
  <si>
    <t>神辺・関</t>
    <rPh sb="0" eb="1">
      <t>カミ</t>
    </rPh>
    <rPh sb="1" eb="2">
      <t>ヘン</t>
    </rPh>
    <rPh sb="3" eb="4">
      <t>セキ</t>
    </rPh>
    <phoneticPr fontId="2"/>
  </si>
  <si>
    <t>太岡寺町・関町木崎</t>
    <rPh sb="3" eb="4">
      <t>チョウ</t>
    </rPh>
    <rPh sb="5" eb="7">
      <t>セキチョウ</t>
    </rPh>
    <rPh sb="7" eb="9">
      <t>コザキ</t>
    </rPh>
    <phoneticPr fontId="2"/>
  </si>
  <si>
    <t>太岡寺畷</t>
    <rPh sb="0" eb="3">
      <t>タイコウジ</t>
    </rPh>
    <rPh sb="3" eb="4">
      <t>ナワテ</t>
    </rPh>
    <phoneticPr fontId="2"/>
  </si>
  <si>
    <t>『鈴鹿関町史』上巻P.654</t>
    <rPh sb="7" eb="9">
      <t>ジョウカン</t>
    </rPh>
    <phoneticPr fontId="2"/>
  </si>
  <si>
    <t>元禄14</t>
  </si>
  <si>
    <t>石井兄弟の敵討ち、赤堀水之助を亀山城石坂門外で討ち取る</t>
    <rPh sb="23" eb="24">
      <t>ウ</t>
    </rPh>
    <phoneticPr fontId="2"/>
  </si>
  <si>
    <t>本丸町・東丸町</t>
    <rPh sb="2" eb="3">
      <t>チョウ</t>
    </rPh>
    <rPh sb="6" eb="7">
      <t>チョウ</t>
    </rPh>
    <phoneticPr fontId="2"/>
  </si>
  <si>
    <t>亀山城石坂門外</t>
    <phoneticPr fontId="2"/>
  </si>
  <si>
    <t>石井源蔵・半蔵
赤堀水之助</t>
    <phoneticPr fontId="2"/>
  </si>
  <si>
    <t>「絵本亀山話」・「亀山かたきうち」（嘉永8版）・「亀山敵討全」・「元禄亀山孝胆武衛遺事」・「石井兄弟」・「亀山敵討」</t>
    <rPh sb="5" eb="6">
      <t>ハナ</t>
    </rPh>
    <phoneticPr fontId="2"/>
  </si>
  <si>
    <t>亀山のむかしばなし／亀山にまつわるひとびとの話／石井兄弟のかたきうち</t>
    <rPh sb="24" eb="26">
      <t>イシイ</t>
    </rPh>
    <rPh sb="26" eb="28">
      <t>キョウダイ</t>
    </rPh>
    <phoneticPr fontId="2"/>
  </si>
  <si>
    <t>http://kameyamarekihaku.jp/kodomo/w_e_b/hanashi/hitobito/page006.html</t>
  </si>
  <si>
    <t>『亀山地方郷土史』第二巻
web図録　企画展web図録
『亀山市史』考古分野</t>
    <rPh sb="19" eb="22">
      <t>キカクテン</t>
    </rPh>
    <rPh sb="28" eb="38">
      <t>カ</t>
    </rPh>
    <phoneticPr fontId="2"/>
  </si>
  <si>
    <t>亀山のいいとこさがし／絵</t>
    <rPh sb="11" eb="12">
      <t>エ</t>
    </rPh>
    <phoneticPr fontId="2"/>
  </si>
  <si>
    <t>http://kameyamarekihaku.jp/kodomo/w_e_b/iitoko/e/index.html</t>
  </si>
  <si>
    <t>元禄15</t>
  </si>
  <si>
    <t>大庄屋打田権四郎昌勝が『九々五集』を編さんする</t>
    <phoneticPr fontId="2"/>
  </si>
  <si>
    <t>布気町</t>
    <rPh sb="0" eb="3">
      <t>フケチョウ</t>
    </rPh>
    <phoneticPr fontId="2"/>
  </si>
  <si>
    <t>打田権四郎昌勝</t>
  </si>
  <si>
    <t>九々五集（半田写本）</t>
    <rPh sb="5" eb="7">
      <t>ハンダ</t>
    </rPh>
    <rPh sb="7" eb="9">
      <t>シャホン</t>
    </rPh>
    <phoneticPr fontId="2"/>
  </si>
  <si>
    <t>よりよい地域を作った人々／江戸時代の新田開発の中心となった人物</t>
    <phoneticPr fontId="2"/>
  </si>
  <si>
    <t>『九々五集』</t>
    <phoneticPr fontId="2"/>
  </si>
  <si>
    <t>日本の歴史の中の亀山／近世の亀山／農業や諸産業の発達／新田の状況</t>
    <phoneticPr fontId="2"/>
  </si>
  <si>
    <t>日本の歴史の中の亀山／近世の亀山／都市の繁栄と元禄文化／九々五集と打田権四郎昌克</t>
    <rPh sb="0" eb="2">
      <t>ニホン</t>
    </rPh>
    <rPh sb="11" eb="13">
      <t>キンセイ</t>
    </rPh>
    <rPh sb="14" eb="17">
      <t>カメヤマ・</t>
    </rPh>
    <rPh sb="17" eb="19">
      <t>トシ</t>
    </rPh>
    <rPh sb="20" eb="22">
      <t>ハンエイ</t>
    </rPh>
    <rPh sb="23" eb="25">
      <t>ゲンロク</t>
    </rPh>
    <rPh sb="25" eb="27">
      <t>ブンカ</t>
    </rPh>
    <rPh sb="28" eb="30">
      <t>クク</t>
    </rPh>
    <rPh sb="30" eb="31">
      <t>ゴ</t>
    </rPh>
    <rPh sb="31" eb="32">
      <t>シュウ</t>
    </rPh>
    <rPh sb="33" eb="38">
      <t>ウチダゴンシロウ</t>
    </rPh>
    <rPh sb="38" eb="40">
      <t>マサカツ</t>
    </rPh>
    <phoneticPr fontId="2"/>
  </si>
  <si>
    <t>http://kameyamarekihaku.jp/kodomo/w_e_b/rekishi/kinsei/genroku/page001.html</t>
  </si>
  <si>
    <t>亀山のいいとこさがし／手紙や本／手紙や記録など／九々五集</t>
    <phoneticPr fontId="2"/>
  </si>
  <si>
    <t>http://kameyamarekihaku.jp/kodomo/w_e_b/iitoko/tegami/kiroku/page001.html</t>
  </si>
  <si>
    <t>宝永4</t>
    <rPh sb="0" eb="2">
      <t>ホウエイ</t>
    </rPh>
    <phoneticPr fontId="2"/>
  </si>
  <si>
    <t>●</t>
    <phoneticPr fontId="2"/>
  </si>
  <si>
    <t>大地震がおこる（宝永地震）
加太でも大きな揺れを感じ、亀山城にも被害が出る</t>
    <rPh sb="0" eb="3">
      <t>ダイジシン</t>
    </rPh>
    <rPh sb="8" eb="10">
      <t>ホウエイ</t>
    </rPh>
    <rPh sb="10" eb="12">
      <t>ジシン</t>
    </rPh>
    <rPh sb="14" eb="16">
      <t>カブト</t>
    </rPh>
    <rPh sb="18" eb="19">
      <t>オオ</t>
    </rPh>
    <rPh sb="21" eb="22">
      <t>ユ</t>
    </rPh>
    <rPh sb="24" eb="25">
      <t>カン</t>
    </rPh>
    <rPh sb="27" eb="29">
      <t>カメヤマ</t>
    </rPh>
    <rPh sb="29" eb="30">
      <t>シロ</t>
    </rPh>
    <rPh sb="32" eb="34">
      <t>ヒガイ</t>
    </rPh>
    <rPh sb="35" eb="36">
      <t>デ</t>
    </rPh>
    <phoneticPr fontId="2"/>
  </si>
  <si>
    <t>加太・亀山西</t>
    <rPh sb="3" eb="6">
      <t>カメヤマニシ</t>
    </rPh>
    <phoneticPr fontId="2"/>
  </si>
  <si>
    <t>亀山城</t>
    <rPh sb="0" eb="3">
      <t>カメヤマジョウ</t>
    </rPh>
    <phoneticPr fontId="2"/>
  </si>
  <si>
    <t>画像史料：『坂家覚書』（市史近世・近代・現代史料データベース　加太板屋個人Ⅰ所蔵1-12）</t>
    <rPh sb="0" eb="2">
      <t>ガゾウ</t>
    </rPh>
    <rPh sb="2" eb="4">
      <t>シリョウ</t>
    </rPh>
    <rPh sb="12" eb="13">
      <t>シ</t>
    </rPh>
    <rPh sb="13" eb="14">
      <t>シ</t>
    </rPh>
    <rPh sb="14" eb="16">
      <t>キンセイ</t>
    </rPh>
    <rPh sb="17" eb="19">
      <t>キンダイ</t>
    </rPh>
    <rPh sb="20" eb="24">
      <t>ゲンダイシリョウ</t>
    </rPh>
    <rPh sb="31" eb="35">
      <t>カブトイタヤ</t>
    </rPh>
    <rPh sb="35" eb="37">
      <t>コジン</t>
    </rPh>
    <rPh sb="38" eb="40">
      <t>ショゾウ</t>
    </rPh>
    <phoneticPr fontId="2"/>
  </si>
  <si>
    <t>『亀山市史』歴史分野</t>
    <rPh sb="1" eb="4">
      <t>カメヤマシ</t>
    </rPh>
    <rPh sb="4" eb="5">
      <t>シ</t>
    </rPh>
    <rPh sb="6" eb="8">
      <t>レキシ</t>
    </rPh>
    <rPh sb="8" eb="10">
      <t>ブンヤ</t>
    </rPh>
    <phoneticPr fontId="2"/>
  </si>
  <si>
    <t>宝永5</t>
    <rPh sb="0" eb="2">
      <t>ホウエイ</t>
    </rPh>
    <phoneticPr fontId="2"/>
  </si>
  <si>
    <t>近松門左衛門、鈴鹿峠・関宿を舞台とした「丹波与作待夜の小室節」を大坂竹本座で初演する</t>
    <rPh sb="0" eb="2">
      <t>チカマツ</t>
    </rPh>
    <rPh sb="2" eb="6">
      <t>モンザエモン</t>
    </rPh>
    <rPh sb="7" eb="9">
      <t>スズカ</t>
    </rPh>
    <rPh sb="9" eb="10">
      <t>トウゲ</t>
    </rPh>
    <rPh sb="11" eb="12">
      <t>セキ</t>
    </rPh>
    <rPh sb="12" eb="13">
      <t>ヤド</t>
    </rPh>
    <rPh sb="14" eb="16">
      <t>ブタイ</t>
    </rPh>
    <rPh sb="20" eb="22">
      <t>タンバ</t>
    </rPh>
    <rPh sb="22" eb="24">
      <t>ヨサク</t>
    </rPh>
    <rPh sb="24" eb="25">
      <t>マ</t>
    </rPh>
    <rPh sb="25" eb="26">
      <t>ヨル</t>
    </rPh>
    <rPh sb="27" eb="29">
      <t>コムロ</t>
    </rPh>
    <rPh sb="29" eb="30">
      <t>ブシ</t>
    </rPh>
    <rPh sb="32" eb="34">
      <t>オオサカ</t>
    </rPh>
    <rPh sb="34" eb="36">
      <t>タケモト</t>
    </rPh>
    <rPh sb="36" eb="37">
      <t>ザ</t>
    </rPh>
    <rPh sb="38" eb="40">
      <t>ショエン</t>
    </rPh>
    <phoneticPr fontId="2"/>
  </si>
  <si>
    <t>近松門左衛門</t>
    <rPh sb="0" eb="2">
      <t>チカマツ</t>
    </rPh>
    <rPh sb="2" eb="6">
      <t>モンザエモン</t>
    </rPh>
    <phoneticPr fontId="2"/>
  </si>
  <si>
    <t>『鈴鹿関町史』下巻年表P.876</t>
    <rPh sb="7" eb="8">
      <t>シタ</t>
    </rPh>
    <rPh sb="9" eb="11">
      <t>ネンピョウ</t>
    </rPh>
    <phoneticPr fontId="2"/>
  </si>
  <si>
    <t>宝永5</t>
  </si>
  <si>
    <t>暴風雨により加太村田畑流出</t>
    <rPh sb="0" eb="3">
      <t>ボウフウウ</t>
    </rPh>
    <rPh sb="6" eb="8">
      <t>カブト</t>
    </rPh>
    <rPh sb="8" eb="9">
      <t>ムラ</t>
    </rPh>
    <rPh sb="9" eb="11">
      <t>タハタ</t>
    </rPh>
    <rPh sb="11" eb="13">
      <t>リュウシュツ</t>
    </rPh>
    <phoneticPr fontId="2"/>
  </si>
  <si>
    <t>宝永6</t>
  </si>
  <si>
    <t>新井白石の政治がはじまる（～16）</t>
  </si>
  <si>
    <t>板倉重治、亀山城主になる</t>
  </si>
  <si>
    <t>板倉重治</t>
  </si>
  <si>
    <t>亀山城と宿場／江戸時代の亀山城主／板倉重常・重冬・重治</t>
  </si>
  <si>
    <t>『亀山市史』歴史分野　近世ページ亀山城主の移り変わり・年表
『亀山市史』通史　近世</t>
    <rPh sb="0" eb="29">
      <t>ジョウシュ</t>
    </rPh>
    <rPh sb="30" eb="41">
      <t>キ</t>
    </rPh>
    <phoneticPr fontId="2"/>
  </si>
  <si>
    <t>宝永7</t>
  </si>
  <si>
    <t>松平乗邑、亀山城主になる</t>
    <phoneticPr fontId="2"/>
  </si>
  <si>
    <t>松平乗邑</t>
  </si>
  <si>
    <t>亀山城と宿場／江戸時代の亀山城主／松平乗邑（大給）</t>
    <rPh sb="17" eb="19">
      <t>マツダイラ</t>
    </rPh>
    <rPh sb="19" eb="20">
      <t>ノ</t>
    </rPh>
    <rPh sb="20" eb="21">
      <t>サト</t>
    </rPh>
    <rPh sb="22" eb="24">
      <t>オギュウ</t>
    </rPh>
    <phoneticPr fontId="2"/>
  </si>
  <si>
    <t>http://kameyamarekihaku.jp/kodomo/w_e_b/syukuba/joushu-edo/page009.html</t>
  </si>
  <si>
    <t xml:space="preserve">『亀山市史』歴史分野　近世ページ亀山城主の移り変わり・年表
『亀山市史』通史　近世
企画展Web図録
</t>
    <rPh sb="0" eb="29">
      <t>ジョウシュ</t>
    </rPh>
    <rPh sb="30" eb="41">
      <t>キ</t>
    </rPh>
    <rPh sb="42" eb="45">
      <t>キカクテン</t>
    </rPh>
    <rPh sb="48" eb="50">
      <t>ズロク</t>
    </rPh>
    <phoneticPr fontId="2"/>
  </si>
  <si>
    <t>日本の歴史の中の亀山／近世の亀山／享保の改革と社会の変化</t>
    <rPh sb="0" eb="2">
      <t>ニホン</t>
    </rPh>
    <rPh sb="11" eb="13">
      <t>キンセイ</t>
    </rPh>
    <rPh sb="14" eb="17">
      <t>カメヤマ・</t>
    </rPh>
    <rPh sb="17" eb="19">
      <t>キョウホウ</t>
    </rPh>
    <rPh sb="20" eb="22">
      <t>カイカク</t>
    </rPh>
    <rPh sb="23" eb="25">
      <t>シャカイ</t>
    </rPh>
    <rPh sb="26" eb="28">
      <t>ヘンカ</t>
    </rPh>
    <phoneticPr fontId="2"/>
  </si>
  <si>
    <t>http://kameyamarekihaku.jp/kodomo/w_e_b/rekishi/kinsei/page001.html</t>
  </si>
  <si>
    <t>正徳元</t>
  </si>
  <si>
    <t>松平乗邑が亀山訓をつくる</t>
    <rPh sb="5" eb="7">
      <t>キザン</t>
    </rPh>
    <rPh sb="7" eb="8">
      <t>クン</t>
    </rPh>
    <phoneticPr fontId="2"/>
  </si>
  <si>
    <t>画像史料：亀山訓（西尾市資料館寄託03）</t>
    <rPh sb="0" eb="2">
      <t>ガゾウ</t>
    </rPh>
    <rPh sb="2" eb="4">
      <t>シリョウ</t>
    </rPh>
    <rPh sb="5" eb="7">
      <t>カメヤマ</t>
    </rPh>
    <rPh sb="7" eb="8">
      <t>クン</t>
    </rPh>
    <rPh sb="9" eb="12">
      <t>ニシオシ</t>
    </rPh>
    <rPh sb="12" eb="15">
      <t>シリョウカン</t>
    </rPh>
    <rPh sb="15" eb="17">
      <t>キタク</t>
    </rPh>
    <phoneticPr fontId="2"/>
  </si>
  <si>
    <t>亀山城と宿場／江戸時代の亀山城主／松平乗邑（大給）</t>
    <phoneticPr fontId="2"/>
  </si>
  <si>
    <t>『亀山市史』通史 近世</t>
    <rPh sb="1" eb="4">
      <t>カメヤマシ</t>
    </rPh>
    <rPh sb="4" eb="5">
      <t>シ</t>
    </rPh>
    <rPh sb="6" eb="8">
      <t>ツウシ</t>
    </rPh>
    <rPh sb="9" eb="11">
      <t>キンセイ</t>
    </rPh>
    <phoneticPr fontId="2"/>
  </si>
  <si>
    <t>守山宿</t>
    <phoneticPr fontId="2"/>
  </si>
  <si>
    <t>館蔵加藤家文書</t>
    <rPh sb="0" eb="2">
      <t>カンゾウ</t>
    </rPh>
    <rPh sb="2" eb="4">
      <t>カトウ</t>
    </rPh>
    <rPh sb="4" eb="5">
      <t>ケ</t>
    </rPh>
    <rPh sb="5" eb="7">
      <t>モンジョ</t>
    </rPh>
    <phoneticPr fontId="2"/>
  </si>
  <si>
    <t>日本の歴史の中の亀山／近世の亀山／鎖国の中の海外／亀山城主と朝鮮鎖国の中の海外／亀山城主と朝鮮通信使</t>
    <rPh sb="17" eb="32">
      <t>サコクノナカノカイガイ・カメヤマジョウシュトチョウセン</t>
    </rPh>
    <rPh sb="32" eb="47">
      <t>サコクノナカノカイガイ・カメヤマジョウシュトチョウセン</t>
    </rPh>
    <rPh sb="47" eb="50">
      <t>ツウシンシ</t>
    </rPh>
    <phoneticPr fontId="2"/>
  </si>
  <si>
    <t>『亀山市史』通史　近世
『亀山市史』歴史分野　近世ページ　年表</t>
    <rPh sb="0" eb="11">
      <t>キ</t>
    </rPh>
    <rPh sb="13" eb="16">
      <t>カメヤマシ</t>
    </rPh>
    <rPh sb="16" eb="17">
      <t>シ</t>
    </rPh>
    <rPh sb="18" eb="20">
      <t>レキシ</t>
    </rPh>
    <rPh sb="20" eb="22">
      <t>ブンヤ</t>
    </rPh>
    <rPh sb="23" eb="25">
      <t>キンセイ</t>
    </rPh>
    <rPh sb="29" eb="31">
      <t>ネンピョウ</t>
    </rPh>
    <phoneticPr fontId="2"/>
  </si>
  <si>
    <t>正徳2</t>
    <phoneticPr fontId="2"/>
  </si>
  <si>
    <t>本丸の古御殿を取り壊す</t>
    <rPh sb="0" eb="2">
      <t>ホンマル</t>
    </rPh>
    <rPh sb="3" eb="4">
      <t>フル</t>
    </rPh>
    <rPh sb="4" eb="6">
      <t>ゴテン</t>
    </rPh>
    <rPh sb="7" eb="8">
      <t>ト</t>
    </rPh>
    <rPh sb="9" eb="10">
      <t>コワ</t>
    </rPh>
    <phoneticPr fontId="2"/>
  </si>
  <si>
    <t>松平乗邑</t>
    <phoneticPr fontId="2"/>
  </si>
  <si>
    <t>亀山拾冊（西尾市資料館寄託資料）</t>
    <phoneticPr fontId="2"/>
  </si>
  <si>
    <t>亀山城と宿場／亀山城のつくり／御殿／本丸御殿</t>
    <rPh sb="15" eb="17">
      <t>ゴテン</t>
    </rPh>
    <rPh sb="18" eb="20">
      <t>ホンマル</t>
    </rPh>
    <rPh sb="20" eb="22">
      <t>ゴテン</t>
    </rPh>
    <phoneticPr fontId="2"/>
  </si>
  <si>
    <t>http://kameyamarekihaku.jp/kodomo/w_e_b/syukuba/tsukuri/goten/page001.html</t>
  </si>
  <si>
    <t>『亀山市史』通史 近世
web図録　企画展web図録</t>
    <rPh sb="1" eb="4">
      <t>カメヤマシ</t>
    </rPh>
    <rPh sb="4" eb="5">
      <t>シ</t>
    </rPh>
    <rPh sb="6" eb="8">
      <t>ツウシ</t>
    </rPh>
    <rPh sb="9" eb="11">
      <t>キンセイ</t>
    </rPh>
    <phoneticPr fontId="2"/>
  </si>
  <si>
    <t>享保元</t>
    <rPh sb="2" eb="3">
      <t>ガン</t>
    </rPh>
    <phoneticPr fontId="2"/>
  </si>
  <si>
    <t>享保の改革がおこなわれる(徳川吉宗～45)</t>
  </si>
  <si>
    <t>日本の歴史の中の亀山／近世の亀山／享保の改革と社会の変化</t>
    <rPh sb="0" eb="2">
      <t>ニホン</t>
    </rPh>
    <rPh sb="11" eb="13">
      <t>キンセイ</t>
    </rPh>
    <rPh sb="14" eb="16">
      <t>カメヤマ</t>
    </rPh>
    <rPh sb="17" eb="19">
      <t>キョウホウ</t>
    </rPh>
    <rPh sb="20" eb="22">
      <t>カイカク</t>
    </rPh>
    <rPh sb="23" eb="25">
      <t>シャカイ</t>
    </rPh>
    <rPh sb="26" eb="28">
      <t>ヘンカ</t>
    </rPh>
    <phoneticPr fontId="2"/>
  </si>
  <si>
    <t>享保2</t>
    <phoneticPr fontId="2"/>
  </si>
  <si>
    <t>亀山城と宿場／江戸時代の亀山城主／板倉重治・勝澄</t>
    <rPh sb="22" eb="23">
      <t>カツ</t>
    </rPh>
    <rPh sb="23" eb="24">
      <t>スミ</t>
    </rPh>
    <phoneticPr fontId="2"/>
  </si>
  <si>
    <t>http://kameyamarekihaku.jp/kodomo/w_e_b/syukuba/joushu-edo/page010.html</t>
  </si>
  <si>
    <t>『亀山市史』歴史分野　近世ページ亀山城主の移り変わり・年表
『亀山市史』通史 近世</t>
    <rPh sb="0" eb="29">
      <t>ジョウシュ</t>
    </rPh>
    <phoneticPr fontId="2"/>
  </si>
  <si>
    <t>享保4</t>
    <phoneticPr fontId="2"/>
  </si>
  <si>
    <t>守山宿</t>
    <phoneticPr fontId="2"/>
  </si>
  <si>
    <t>加藤家文書</t>
    <rPh sb="0" eb="2">
      <t>カトウ</t>
    </rPh>
    <rPh sb="2" eb="3">
      <t>ケ</t>
    </rPh>
    <rPh sb="3" eb="5">
      <t>モンジョ</t>
    </rPh>
    <phoneticPr fontId="2"/>
  </si>
  <si>
    <t>日本の歴史の中の亀山／近世の亀山／鎖国の中の海外／亀山城主と朝鮮鎖国の中の海外／亀山城主と朝鮮通信使</t>
    <phoneticPr fontId="2"/>
  </si>
  <si>
    <t>『亀山市史』歴史分野　近世ページ　年表
『亀山市史』通史　近世</t>
    <rPh sb="1" eb="4">
      <t>カメヤマシ</t>
    </rPh>
    <rPh sb="4" eb="5">
      <t>シ</t>
    </rPh>
    <rPh sb="6" eb="8">
      <t>レキシ</t>
    </rPh>
    <rPh sb="8" eb="10">
      <t>ブンヤ</t>
    </rPh>
    <rPh sb="11" eb="13">
      <t>キンセイ</t>
    </rPh>
    <rPh sb="17" eb="19">
      <t>ネンピョウ</t>
    </rPh>
    <rPh sb="20" eb="31">
      <t>キ</t>
    </rPh>
    <phoneticPr fontId="2"/>
  </si>
  <si>
    <t>享保5</t>
    <phoneticPr fontId="2"/>
  </si>
  <si>
    <t>禁書をゆるめる</t>
  </si>
  <si>
    <t>享保6</t>
  </si>
  <si>
    <t>目安箱を設ける</t>
  </si>
  <si>
    <t>享保7</t>
  </si>
  <si>
    <t>上げ米の制を定める</t>
  </si>
  <si>
    <t>享保9</t>
  </si>
  <si>
    <t>板倉勝澄、亀山城主になる</t>
  </si>
  <si>
    <t>板倉勝澄</t>
  </si>
  <si>
    <t>亀山城と宿場／江戸時代の亀山城主／板倉重治・勝澄</t>
    <phoneticPr fontId="2"/>
  </si>
  <si>
    <t>『亀山市史』歴史分野　近世ページ亀山城主の移り変わり・年表</t>
    <rPh sb="0" eb="29">
      <t>ジョウシュ</t>
    </rPh>
    <phoneticPr fontId="2"/>
  </si>
  <si>
    <t>享保17</t>
  </si>
  <si>
    <t>享保のききんがおこる</t>
  </si>
  <si>
    <r>
      <t>享保1</t>
    </r>
    <r>
      <rPr>
        <sz val="11"/>
        <rFont val="ＭＳ Ｐゴシック"/>
        <family val="3"/>
        <charset val="128"/>
      </rPr>
      <t>9</t>
    </r>
    <phoneticPr fontId="2"/>
  </si>
  <si>
    <t>円福寺経堂が建てられる</t>
    <rPh sb="0" eb="3">
      <t>エンプクジ</t>
    </rPh>
    <rPh sb="3" eb="5">
      <t>キョウドウ</t>
    </rPh>
    <rPh sb="6" eb="7">
      <t>タ</t>
    </rPh>
    <phoneticPr fontId="2"/>
  </si>
  <si>
    <t>住山町</t>
    <rPh sb="0" eb="3">
      <t>スミヤマチョウ</t>
    </rPh>
    <phoneticPr fontId="2"/>
  </si>
  <si>
    <t>円福寺</t>
    <rPh sb="0" eb="3">
      <t>エンプクジ</t>
    </rPh>
    <phoneticPr fontId="2"/>
  </si>
  <si>
    <t>円福寺経堂</t>
    <rPh sb="0" eb="3">
      <t>エンプクジ</t>
    </rPh>
    <rPh sb="3" eb="5">
      <t>キョウドウ</t>
    </rPh>
    <phoneticPr fontId="2"/>
  </si>
  <si>
    <t>『亀山市史』歴史分野　近世ページ　年表
『亀山市史』美術工芸編（書籍版）P.287
館蔵資料データベース</t>
    <rPh sb="1" eb="4">
      <t>カメヤマシ</t>
    </rPh>
    <rPh sb="4" eb="5">
      <t>シ</t>
    </rPh>
    <rPh sb="6" eb="8">
      <t>レキシ</t>
    </rPh>
    <rPh sb="8" eb="10">
      <t>ブンヤ</t>
    </rPh>
    <rPh sb="11" eb="13">
      <t>キンセイ</t>
    </rPh>
    <rPh sb="17" eb="19">
      <t>ネンピョウ</t>
    </rPh>
    <rPh sb="21" eb="24">
      <t>カメヤマシ</t>
    </rPh>
    <rPh sb="24" eb="25">
      <t>シ</t>
    </rPh>
    <rPh sb="26" eb="28">
      <t>ビジュツ</t>
    </rPh>
    <rPh sb="28" eb="30">
      <t>コウゲイ</t>
    </rPh>
    <rPh sb="30" eb="31">
      <t>ヘン</t>
    </rPh>
    <rPh sb="32" eb="34">
      <t>ショセキ</t>
    </rPh>
    <rPh sb="34" eb="35">
      <t>バン</t>
    </rPh>
    <rPh sb="42" eb="44">
      <t>カンゾウ</t>
    </rPh>
    <rPh sb="44" eb="46">
      <t>シリョウ</t>
    </rPh>
    <phoneticPr fontId="2"/>
  </si>
  <si>
    <t>享保20</t>
    <phoneticPr fontId="2"/>
  </si>
  <si>
    <t>亀山西町から出火、西丸から京口門まで類焼</t>
    <rPh sb="0" eb="2">
      <t>カメヤマ</t>
    </rPh>
    <rPh sb="2" eb="3">
      <t>ニシ</t>
    </rPh>
    <rPh sb="3" eb="4">
      <t>マチ</t>
    </rPh>
    <rPh sb="6" eb="8">
      <t>シュッカ</t>
    </rPh>
    <rPh sb="9" eb="11">
      <t>ニシマル</t>
    </rPh>
    <rPh sb="13" eb="15">
      <t>キョウグチ</t>
    </rPh>
    <rPh sb="15" eb="16">
      <t>モン</t>
    </rPh>
    <rPh sb="18" eb="20">
      <t>ルイショウ</t>
    </rPh>
    <phoneticPr fontId="2"/>
  </si>
  <si>
    <t>西丸町・西町</t>
    <rPh sb="0" eb="1">
      <t>ニシ</t>
    </rPh>
    <rPh sb="1" eb="2">
      <t>マル</t>
    </rPh>
    <rPh sb="2" eb="3">
      <t>チョウ</t>
    </rPh>
    <rPh sb="4" eb="5">
      <t>ニシ</t>
    </rPh>
    <rPh sb="5" eb="6">
      <t>マチ</t>
    </rPh>
    <phoneticPr fontId="2"/>
  </si>
  <si>
    <t>亀山城と宿場／亀山城のつくり／京口門</t>
    <rPh sb="15" eb="17">
      <t>キョウグチ</t>
    </rPh>
    <rPh sb="17" eb="18">
      <t>モン</t>
    </rPh>
    <phoneticPr fontId="2"/>
  </si>
  <si>
    <t>http://kameyamarekihaku.jp/kodomo/w_e_b/syukuba/tsukuri/page014.html</t>
  </si>
  <si>
    <t>『亀山地方郷土史』第三巻年表</t>
    <rPh sb="1" eb="3">
      <t>カメヤマ</t>
    </rPh>
    <rPh sb="3" eb="5">
      <t>チホウ</t>
    </rPh>
    <rPh sb="5" eb="7">
      <t>キョウド</t>
    </rPh>
    <rPh sb="7" eb="8">
      <t>シ</t>
    </rPh>
    <rPh sb="9" eb="10">
      <t>ダイ</t>
    </rPh>
    <rPh sb="10" eb="11">
      <t>サン</t>
    </rPh>
    <rPh sb="11" eb="12">
      <t>カン</t>
    </rPh>
    <rPh sb="12" eb="14">
      <t>ネンピョウ</t>
    </rPh>
    <phoneticPr fontId="2"/>
  </si>
  <si>
    <t>寛保2</t>
    <rPh sb="0" eb="2">
      <t>カンポウ</t>
    </rPh>
    <phoneticPr fontId="2"/>
  </si>
  <si>
    <t>公事方御定書が完成する</t>
  </si>
  <si>
    <t>高橋道八生まれる</t>
    <rPh sb="0" eb="2">
      <t>タカハシ</t>
    </rPh>
    <rPh sb="2" eb="3">
      <t>ドウ</t>
    </rPh>
    <rPh sb="3" eb="4">
      <t>ハチ</t>
    </rPh>
    <rPh sb="4" eb="5">
      <t>ウ</t>
    </rPh>
    <phoneticPr fontId="2"/>
  </si>
  <si>
    <t>南野町</t>
    <rPh sb="0" eb="1">
      <t>ミナミ</t>
    </rPh>
    <rPh sb="1" eb="2">
      <t>ノ</t>
    </rPh>
    <rPh sb="2" eb="3">
      <t>チョウ</t>
    </rPh>
    <phoneticPr fontId="2"/>
  </si>
  <si>
    <t>高橋道八（初代）</t>
    <rPh sb="0" eb="2">
      <t>タカハシ</t>
    </rPh>
    <rPh sb="2" eb="3">
      <t>ドウ</t>
    </rPh>
    <rPh sb="3" eb="4">
      <t>ハチ</t>
    </rPh>
    <rPh sb="5" eb="7">
      <t>ショダイ</t>
    </rPh>
    <phoneticPr fontId="2"/>
  </si>
  <si>
    <t>『亀山地方郷土史』第三巻P.214</t>
    <rPh sb="1" eb="3">
      <t>カメヤマ</t>
    </rPh>
    <rPh sb="3" eb="5">
      <t>チホウ</t>
    </rPh>
    <rPh sb="5" eb="7">
      <t>キョウド</t>
    </rPh>
    <rPh sb="7" eb="8">
      <t>シ</t>
    </rPh>
    <rPh sb="9" eb="10">
      <t>ダイ</t>
    </rPh>
    <rPh sb="10" eb="11">
      <t>サン</t>
    </rPh>
    <rPh sb="11" eb="12">
      <t>カン</t>
    </rPh>
    <phoneticPr fontId="2"/>
  </si>
  <si>
    <t>延享1</t>
  </si>
  <si>
    <t>石川総慶、亀山城主になる</t>
  </si>
  <si>
    <t>石川総慶</t>
  </si>
  <si>
    <t>亀山城と宿場／江戸時代の亀山城主／石川総慶・総堯・総純・総博・総師・総佐・総安・総惠・総禄・総脩・成之</t>
    <rPh sb="17" eb="19">
      <t>イシカワ</t>
    </rPh>
    <rPh sb="19" eb="20">
      <t>フサ</t>
    </rPh>
    <rPh sb="20" eb="21">
      <t>ヨシ</t>
    </rPh>
    <rPh sb="22" eb="23">
      <t>フサ</t>
    </rPh>
    <rPh sb="23" eb="24">
      <t>タカ</t>
    </rPh>
    <rPh sb="25" eb="26">
      <t>フサ</t>
    </rPh>
    <rPh sb="26" eb="27">
      <t>ズミ</t>
    </rPh>
    <rPh sb="28" eb="29">
      <t>フサ</t>
    </rPh>
    <rPh sb="29" eb="30">
      <t>ヒロ</t>
    </rPh>
    <rPh sb="31" eb="32">
      <t>フサ</t>
    </rPh>
    <rPh sb="32" eb="33">
      <t>シ</t>
    </rPh>
    <rPh sb="34" eb="35">
      <t>フサ</t>
    </rPh>
    <rPh sb="35" eb="36">
      <t>スケ</t>
    </rPh>
    <rPh sb="37" eb="38">
      <t>フサ</t>
    </rPh>
    <rPh sb="38" eb="39">
      <t>ヤス</t>
    </rPh>
    <rPh sb="40" eb="41">
      <t>フサ</t>
    </rPh>
    <rPh sb="41" eb="42">
      <t>エ</t>
    </rPh>
    <rPh sb="43" eb="44">
      <t>フサ</t>
    </rPh>
    <rPh sb="44" eb="45">
      <t>ヨシ</t>
    </rPh>
    <rPh sb="46" eb="47">
      <t>フサ</t>
    </rPh>
    <rPh sb="47" eb="48">
      <t>シュウ</t>
    </rPh>
    <rPh sb="49" eb="51">
      <t>ナリユキ</t>
    </rPh>
    <phoneticPr fontId="2"/>
  </si>
  <si>
    <t>http://kameyamarekihaku.jp/kodomo/w_e_b/syukuba/joushu-edo/page011.html</t>
  </si>
  <si>
    <t xml:space="preserve">『亀山市史』歴史分野　近世ページ亀山城主の移り変わり・年表
『亀山市史』通史　近世
</t>
    <rPh sb="0" eb="29">
      <t>ジョウシュ</t>
    </rPh>
    <rPh sb="30" eb="41">
      <t>キ</t>
    </rPh>
    <phoneticPr fontId="2"/>
  </si>
  <si>
    <t>明和元</t>
  </si>
  <si>
    <t>石川総堯、亀山城主になる（8/23～）石川総純、亀山城主になる（閏12/4～）</t>
    <phoneticPr fontId="2"/>
  </si>
  <si>
    <t>石川総堯・石川総純</t>
    <phoneticPr fontId="2"/>
  </si>
  <si>
    <t>亀山城と宿場／江戸時代の亀山城主／石川総慶・総堯・総純・総博・総師・総佐・総安・総惠・総禄・総脩・成之</t>
    <phoneticPr fontId="2"/>
  </si>
  <si>
    <t xml:space="preserve">『亀山市史』歴史分野　近世ページ亀山城主の移り変わり・年表
</t>
    <rPh sb="0" eb="29">
      <t>ジョウシュ</t>
    </rPh>
    <phoneticPr fontId="2"/>
  </si>
  <si>
    <t>百姓一挨がおきるようになる</t>
  </si>
  <si>
    <t>明和3</t>
  </si>
  <si>
    <t>幕府より甲州川普請を命じられ、臨時に年貢を徴収する</t>
  </si>
  <si>
    <t>加藤家文書</t>
  </si>
  <si>
    <t>明和5</t>
  </si>
  <si>
    <t>亀山領内で大きな百姓一揆がおこる</t>
    <rPh sb="0" eb="2">
      <t>カメヤマ</t>
    </rPh>
    <rPh sb="2" eb="4">
      <t>リョウナイ</t>
    </rPh>
    <rPh sb="5" eb="6">
      <t>オオ</t>
    </rPh>
    <rPh sb="8" eb="10">
      <t>ヒャクショウ</t>
    </rPh>
    <phoneticPr fontId="2"/>
  </si>
  <si>
    <t>亀山西・亀山東・亀山南・井田川・川崎・野登・白川・神辺・関</t>
  </si>
  <si>
    <t>野村・西町・東町を除く亀山領内</t>
  </si>
  <si>
    <t>「勢州亀山騒動有増書附」
「明和五戊子歳騒動実記」
「勢州亀山御領分八拾三ヶ村百姓騒動記」
加藤家文書</t>
    <rPh sb="7" eb="8">
      <t>ユウ</t>
    </rPh>
    <phoneticPr fontId="2"/>
  </si>
  <si>
    <t>日本の歴史の中の亀山／近世の亀山／田沼の政治と寛政改革／明和五年亀山領分八十三ヵ村騒動</t>
    <rPh sb="28" eb="30">
      <t>メイワ</t>
    </rPh>
    <rPh sb="30" eb="32">
      <t>５ネン</t>
    </rPh>
    <rPh sb="32" eb="34">
      <t>カメヤマ</t>
    </rPh>
    <rPh sb="34" eb="36">
      <t>リョウブン</t>
    </rPh>
    <rPh sb="36" eb="39">
      <t>ハチジュウサン</t>
    </rPh>
    <rPh sb="40" eb="41">
      <t>ソン</t>
    </rPh>
    <rPh sb="41" eb="43">
      <t>ソウドウ</t>
    </rPh>
    <phoneticPr fontId="2"/>
  </si>
  <si>
    <t>http://kameyamarekihaku.jp/kodomo/w_e_b/rekishi/kinsei/tanuma/page004.html</t>
  </si>
  <si>
    <t>叢書『明和五年亀山領内八十三ヶ村騒動記録集』
『亀山地方郷土史』第三巻P.107
『亀山市史』通史　近世</t>
    <rPh sb="42" eb="44">
      <t>カメヤマ</t>
    </rPh>
    <rPh sb="44" eb="45">
      <t>シ</t>
    </rPh>
    <rPh sb="45" eb="46">
      <t>シ</t>
    </rPh>
    <rPh sb="47" eb="49">
      <t>ツウシ</t>
    </rPh>
    <rPh sb="50" eb="52">
      <t>キンセイ</t>
    </rPh>
    <phoneticPr fontId="2"/>
  </si>
  <si>
    <t>明和8</t>
    <phoneticPr fontId="2"/>
  </si>
  <si>
    <t>おかげ参りの群衆が通行する
錫杖山から御札が降る</t>
    <rPh sb="3" eb="4">
      <t>マイ</t>
    </rPh>
    <rPh sb="6" eb="8">
      <t>グンシュウ</t>
    </rPh>
    <rPh sb="9" eb="11">
      <t>ツウコウ</t>
    </rPh>
    <rPh sb="14" eb="16">
      <t>シャクジョウ</t>
    </rPh>
    <rPh sb="16" eb="17">
      <t>ヤマ</t>
    </rPh>
    <rPh sb="19" eb="20">
      <t>オ</t>
    </rPh>
    <rPh sb="20" eb="21">
      <t>フダ</t>
    </rPh>
    <rPh sb="22" eb="23">
      <t>フ</t>
    </rPh>
    <phoneticPr fontId="2"/>
  </si>
  <si>
    <t>錫杖山</t>
    <phoneticPr fontId="2"/>
  </si>
  <si>
    <t>『亀山市史』美術工芸編（書籍版P.285）</t>
    <rPh sb="1" eb="3">
      <t>カメヤマ</t>
    </rPh>
    <rPh sb="3" eb="5">
      <t>シシ</t>
    </rPh>
    <rPh sb="6" eb="8">
      <t>ビジュツ</t>
    </rPh>
    <rPh sb="8" eb="10">
      <t>コウゲイ</t>
    </rPh>
    <rPh sb="10" eb="11">
      <t>ヘン</t>
    </rPh>
    <rPh sb="12" eb="14">
      <t>ショセキ</t>
    </rPh>
    <rPh sb="14" eb="15">
      <t>バン</t>
    </rPh>
    <phoneticPr fontId="2"/>
  </si>
  <si>
    <t>明和8</t>
  </si>
  <si>
    <t>亀山領内に洪水がおこり、大凶作となる</t>
  </si>
  <si>
    <t>『亀山市史』歴史分野　近世ページ　年表
『亀山地方郷土史』第三巻P.133
『鈴鹿郡野史』P.164
『鈴鹿関町史』上巻P.654
『亀山市史』通史　近世</t>
    <rPh sb="1" eb="4">
      <t>カメヤマシ</t>
    </rPh>
    <rPh sb="4" eb="5">
      <t>シ</t>
    </rPh>
    <rPh sb="6" eb="8">
      <t>レキシ</t>
    </rPh>
    <rPh sb="8" eb="10">
      <t>ブンヤ</t>
    </rPh>
    <rPh sb="11" eb="13">
      <t>キンセイ</t>
    </rPh>
    <rPh sb="17" eb="19">
      <t>ネンピョウ</t>
    </rPh>
    <rPh sb="39" eb="41">
      <t>スズカ</t>
    </rPh>
    <rPh sb="41" eb="42">
      <t>グン</t>
    </rPh>
    <rPh sb="42" eb="43">
      <t>ノ</t>
    </rPh>
    <rPh sb="43" eb="44">
      <t>シ</t>
    </rPh>
    <rPh sb="52" eb="54">
      <t>スズカ</t>
    </rPh>
    <rPh sb="54" eb="55">
      <t>セキ</t>
    </rPh>
    <rPh sb="55" eb="57">
      <t>チョウシ</t>
    </rPh>
    <rPh sb="58" eb="60">
      <t>ジョウカン</t>
    </rPh>
    <rPh sb="67" eb="70">
      <t>カメヤマシ</t>
    </rPh>
    <rPh sb="70" eb="71">
      <t>シ</t>
    </rPh>
    <rPh sb="72" eb="74">
      <t>ツウシ</t>
    </rPh>
    <rPh sb="75" eb="77">
      <t>キンセイ</t>
    </rPh>
    <phoneticPr fontId="2"/>
  </si>
  <si>
    <t>明和9</t>
    <rPh sb="0" eb="2">
      <t>メイワ</t>
    </rPh>
    <phoneticPr fontId="2"/>
  </si>
  <si>
    <t>田沼意次が老中になる</t>
  </si>
  <si>
    <t>日本の歴史の中の亀山／近世の亀山／田沼の政治と寛政改革</t>
    <rPh sb="0" eb="2">
      <t>ニホン</t>
    </rPh>
    <rPh sb="11" eb="13">
      <t>キンセイ</t>
    </rPh>
    <rPh sb="14" eb="16">
      <t>カメヤマ</t>
    </rPh>
    <rPh sb="17" eb="19">
      <t>タヌマ</t>
    </rPh>
    <rPh sb="20" eb="22">
      <t>セイジ</t>
    </rPh>
    <rPh sb="23" eb="25">
      <t>カンセイ</t>
    </rPh>
    <rPh sb="25" eb="27">
      <t>カイカク</t>
    </rPh>
    <phoneticPr fontId="2"/>
  </si>
  <si>
    <t>http://kameyamarekihaku.jp/kodomo/w_e_b/rekishi/kinsei/tanuma/index.html</t>
  </si>
  <si>
    <t>安永2</t>
  </si>
  <si>
    <t>亀山領内に洪水がおこり、大凶作となる</t>
    <phoneticPr fontId="2"/>
  </si>
  <si>
    <t>『亀山市史』歴史分野　近世ページ　年表
『亀山地方郷土史』第三巻P.134
『鈴鹿関町史』上巻P.654
『亀山市史』通史　近世</t>
    <rPh sb="1" eb="4">
      <t>カメヤマシ</t>
    </rPh>
    <rPh sb="4" eb="5">
      <t>シ</t>
    </rPh>
    <rPh sb="6" eb="8">
      <t>レキシ</t>
    </rPh>
    <rPh sb="8" eb="10">
      <t>ブンヤ</t>
    </rPh>
    <rPh sb="11" eb="13">
      <t>キンセイ</t>
    </rPh>
    <rPh sb="17" eb="19">
      <t>ネンピョウ</t>
    </rPh>
    <rPh sb="54" eb="57">
      <t>カメヤマシ</t>
    </rPh>
    <rPh sb="57" eb="58">
      <t>シ</t>
    </rPh>
    <rPh sb="59" eb="61">
      <t>ツウシ</t>
    </rPh>
    <rPh sb="62" eb="64">
      <t>キンセイ</t>
    </rPh>
    <phoneticPr fontId="2"/>
  </si>
  <si>
    <t>安永3</t>
    <phoneticPr fontId="2"/>
  </si>
  <si>
    <t>亀山城三重櫓の修理完了</t>
    <rPh sb="0" eb="3">
      <t>カメヤマジョウ</t>
    </rPh>
    <rPh sb="3" eb="5">
      <t>サンジュウ</t>
    </rPh>
    <rPh sb="5" eb="6">
      <t>ヤグラ</t>
    </rPh>
    <rPh sb="7" eb="9">
      <t>シュウリ</t>
    </rPh>
    <rPh sb="9" eb="11">
      <t>カンリョウ</t>
    </rPh>
    <phoneticPr fontId="2"/>
  </si>
  <si>
    <t>三重櫓</t>
  </si>
  <si>
    <t>ますみ児童公園の天守台跡</t>
    <rPh sb="3" eb="5">
      <t>ジドウ</t>
    </rPh>
    <rPh sb="5" eb="7">
      <t>コウエン</t>
    </rPh>
    <rPh sb="8" eb="10">
      <t>テンシュ</t>
    </rPh>
    <rPh sb="10" eb="11">
      <t>ダイ</t>
    </rPh>
    <rPh sb="11" eb="12">
      <t>アト</t>
    </rPh>
    <phoneticPr fontId="2"/>
  </si>
  <si>
    <t>亀山城と宿場／亀山城のつくり／櫓／三重櫓</t>
    <rPh sb="15" eb="16">
      <t>ヤグラ</t>
    </rPh>
    <phoneticPr fontId="2"/>
  </si>
  <si>
    <t>『亀山地方郷土史』第三巻P.137
『亀山市史』考古分野</t>
    <rPh sb="19" eb="22">
      <t>カメヤマシ</t>
    </rPh>
    <rPh sb="22" eb="23">
      <t>シ</t>
    </rPh>
    <rPh sb="24" eb="26">
      <t>コウコ</t>
    </rPh>
    <rPh sb="26" eb="28">
      <t>ブンヤ</t>
    </rPh>
    <phoneticPr fontId="2"/>
  </si>
  <si>
    <t>安永5</t>
  </si>
  <si>
    <t>石川総博、亀山城主になる</t>
  </si>
  <si>
    <t>石川総博</t>
  </si>
  <si>
    <t>安永9</t>
  </si>
  <si>
    <t>生田理左衛門鈴鹿川治水工事完成</t>
  </si>
  <si>
    <t>亀山西・亀山南</t>
  </si>
  <si>
    <t>野村町</t>
  </si>
  <si>
    <t>生田理左衛門</t>
    <rPh sb="0" eb="2">
      <t>イクタ</t>
    </rPh>
    <rPh sb="2" eb="3">
      <t>リ</t>
    </rPh>
    <rPh sb="3" eb="6">
      <t>サエモン</t>
    </rPh>
    <phoneticPr fontId="2"/>
  </si>
  <si>
    <t>亀山のいいとこさがし／景色のよいところや歴史を知る手掛かりとなるもの／川</t>
    <rPh sb="35" eb="36">
      <t>カワ</t>
    </rPh>
    <phoneticPr fontId="2"/>
  </si>
  <si>
    <t>『亀山市史』歴史分野　近世ページ　年表
『鈴鹿郡野史』P.163</t>
    <rPh sb="1" eb="4">
      <t>カメヤマシ</t>
    </rPh>
    <rPh sb="4" eb="5">
      <t>シ</t>
    </rPh>
    <rPh sb="6" eb="8">
      <t>レキシ</t>
    </rPh>
    <rPh sb="8" eb="10">
      <t>ブンヤ</t>
    </rPh>
    <rPh sb="11" eb="13">
      <t>キンセイ</t>
    </rPh>
    <rPh sb="17" eb="19">
      <t>ネンピョウ</t>
    </rPh>
    <rPh sb="21" eb="24">
      <t>スズカグン</t>
    </rPh>
    <rPh sb="24" eb="25">
      <t>ノ</t>
    </rPh>
    <rPh sb="25" eb="26">
      <t>シ</t>
    </rPh>
    <phoneticPr fontId="2"/>
  </si>
  <si>
    <t>天明2</t>
  </si>
  <si>
    <t>天明のききんがおこる(～87)</t>
  </si>
  <si>
    <t>『亀山地方郷土史』第三巻
『鈴鹿郡野史』P.164
『亀山市史』通史　近世</t>
    <rPh sb="1" eb="3">
      <t>カメヤマ</t>
    </rPh>
    <rPh sb="26" eb="37">
      <t>キ</t>
    </rPh>
    <phoneticPr fontId="2"/>
  </si>
  <si>
    <t>天明2</t>
    <phoneticPr fontId="2"/>
  </si>
  <si>
    <t>博物学者飯沼慾斎、西町で生まれる</t>
  </si>
  <si>
    <t>西町</t>
  </si>
  <si>
    <t>飯沼慾斎</t>
  </si>
  <si>
    <t>『亀山市史』歴史分野　近世ページ　年表
『亀山地方郷土史』第三巻P.211
『亀山市史』通史　近世</t>
    <rPh sb="1" eb="4">
      <t>カメヤマシ</t>
    </rPh>
    <rPh sb="4" eb="5">
      <t>シ</t>
    </rPh>
    <rPh sb="6" eb="8">
      <t>レキシ</t>
    </rPh>
    <rPh sb="8" eb="10">
      <t>ブンヤ</t>
    </rPh>
    <rPh sb="11" eb="13">
      <t>キンセイ</t>
    </rPh>
    <rPh sb="17" eb="19">
      <t>ネンピョウ</t>
    </rPh>
    <rPh sb="39" eb="42">
      <t>カメヤマシ</t>
    </rPh>
    <rPh sb="42" eb="43">
      <t>シ</t>
    </rPh>
    <rPh sb="44" eb="46">
      <t>ツウシ</t>
    </rPh>
    <rPh sb="47" eb="49">
      <t>キンセイ</t>
    </rPh>
    <phoneticPr fontId="2"/>
  </si>
  <si>
    <t>天明3</t>
  </si>
  <si>
    <t>関の小万が亀山城大手門前で父の仇を討ったという（史実であるか不明）</t>
    <rPh sb="0" eb="1">
      <t>セキ</t>
    </rPh>
    <rPh sb="2" eb="3">
      <t>ショウ</t>
    </rPh>
    <rPh sb="3" eb="4">
      <t>マン</t>
    </rPh>
    <rPh sb="5" eb="7">
      <t>カメヤマ</t>
    </rPh>
    <rPh sb="7" eb="8">
      <t>シロ</t>
    </rPh>
    <rPh sb="8" eb="11">
      <t>オオテモン</t>
    </rPh>
    <rPh sb="11" eb="12">
      <t>マエ</t>
    </rPh>
    <rPh sb="13" eb="14">
      <t>チチ</t>
    </rPh>
    <rPh sb="15" eb="16">
      <t>カタキ</t>
    </rPh>
    <rPh sb="17" eb="18">
      <t>ウ</t>
    </rPh>
    <rPh sb="24" eb="26">
      <t>シジツ</t>
    </rPh>
    <rPh sb="30" eb="32">
      <t>フメイ</t>
    </rPh>
    <phoneticPr fontId="2"/>
  </si>
  <si>
    <t>関町新所</t>
    <rPh sb="2" eb="4">
      <t>シンジョ</t>
    </rPh>
    <phoneticPr fontId="2"/>
  </si>
  <si>
    <t>山田屋　　　　　　　　　　　　福蔵寺</t>
    <rPh sb="0" eb="2">
      <t>ヤマダ</t>
    </rPh>
    <rPh sb="2" eb="3">
      <t>ヤ</t>
    </rPh>
    <rPh sb="15" eb="16">
      <t>フク</t>
    </rPh>
    <rPh sb="16" eb="17">
      <t>クラ</t>
    </rPh>
    <rPh sb="17" eb="18">
      <t>テラ</t>
    </rPh>
    <phoneticPr fontId="2"/>
  </si>
  <si>
    <t>関の小万</t>
    <rPh sb="0" eb="1">
      <t>セキ</t>
    </rPh>
    <rPh sb="2" eb="3">
      <t>ショウ</t>
    </rPh>
    <rPh sb="3" eb="4">
      <t>マン</t>
    </rPh>
    <phoneticPr fontId="2"/>
  </si>
  <si>
    <t>関の小万墓塔</t>
    <rPh sb="0" eb="1">
      <t>セキ</t>
    </rPh>
    <rPh sb="2" eb="3">
      <t>ショウ</t>
    </rPh>
    <rPh sb="3" eb="4">
      <t>マン</t>
    </rPh>
    <rPh sb="4" eb="5">
      <t>ハカ</t>
    </rPh>
    <rPh sb="5" eb="6">
      <t>トウ</t>
    </rPh>
    <phoneticPr fontId="2"/>
  </si>
  <si>
    <t>亀山城と宿場／亀山城のつくり／門／大手門</t>
    <rPh sb="0" eb="3">
      <t>カメヤマジョウ</t>
    </rPh>
    <rPh sb="4" eb="6">
      <t>シュクバ</t>
    </rPh>
    <rPh sb="7" eb="10">
      <t>カメヤマジョウ</t>
    </rPh>
    <rPh sb="15" eb="16">
      <t>モン</t>
    </rPh>
    <rPh sb="17" eb="20">
      <t>オオテモン</t>
    </rPh>
    <phoneticPr fontId="2"/>
  </si>
  <si>
    <t>http://kameyamarekihaku.jp/kodomo/w_e_b/syukuba/tsukuri/mon/page001.html</t>
  </si>
  <si>
    <t>『亀山地方郷土史』第三巻P.172
『鈴鹿関町史』上巻P.661</t>
    <phoneticPr fontId="2"/>
  </si>
  <si>
    <t>亀山西</t>
    <rPh sb="0" eb="3">
      <t>カメヤマニシ</t>
    </rPh>
    <phoneticPr fontId="2"/>
  </si>
  <si>
    <t>本丸町</t>
    <phoneticPr fontId="2"/>
  </si>
  <si>
    <t>亀山城（大手前）</t>
    <rPh sb="0" eb="3">
      <t>カメヤマジョウ</t>
    </rPh>
    <rPh sb="4" eb="7">
      <t>オオテマエ</t>
    </rPh>
    <phoneticPr fontId="2"/>
  </si>
  <si>
    <t>亀山のむかしばなし／亀山にまつわるひとびとの話／関の小万</t>
    <rPh sb="24" eb="25">
      <t>セキ</t>
    </rPh>
    <rPh sb="26" eb="27">
      <t>コ</t>
    </rPh>
    <rPh sb="27" eb="28">
      <t>マン</t>
    </rPh>
    <phoneticPr fontId="2"/>
  </si>
  <si>
    <t>http://kameyamarekihaku.jp/kodomo/w_e_b/hanashi/hitobito/page008.html</t>
  </si>
  <si>
    <t>天明5</t>
  </si>
  <si>
    <t>南崎に藩校明倫舎を設立する（設立年代は寛政２年との説もあり）</t>
  </si>
  <si>
    <t>南崎町</t>
    <rPh sb="2" eb="3">
      <t>チョウ</t>
    </rPh>
    <phoneticPr fontId="2"/>
  </si>
  <si>
    <t>明倫舎</t>
  </si>
  <si>
    <t>「蔡州君遺事」（市史近世・近代・現代史料データベース　館蔵加藤家文書59-0-12）")</t>
    <rPh sb="8" eb="9">
      <t>シ</t>
    </rPh>
    <rPh sb="9" eb="10">
      <t>シ</t>
    </rPh>
    <rPh sb="10" eb="12">
      <t>キンセイ</t>
    </rPh>
    <rPh sb="13" eb="15">
      <t>キンダイ</t>
    </rPh>
    <rPh sb="16" eb="20">
      <t>ゲンダイシリョウ</t>
    </rPh>
    <phoneticPr fontId="2"/>
  </si>
  <si>
    <t>日本の歴史の中の亀山／近世の亀山／新しい学問と化政文化／藩校明倫舎</t>
    <rPh sb="28" eb="30">
      <t>ハンコウ</t>
    </rPh>
    <rPh sb="30" eb="32">
      <t>メイリン</t>
    </rPh>
    <rPh sb="32" eb="33">
      <t>シャ</t>
    </rPh>
    <phoneticPr fontId="2"/>
  </si>
  <si>
    <t>http://kameyamarekihaku.jp/kodomo/w_e_b/rekishi/kinsei/kaseibunka/page003.html</t>
  </si>
  <si>
    <t xml:space="preserve">『亀山市史』通史 近世
『亀山地方郷土史』第三巻
『亀山市史』歴史分野　近世ページ　年表
「過去の常設展示」　テーマ展示
</t>
    <rPh sb="13" eb="15">
      <t>カメヤマ</t>
    </rPh>
    <rPh sb="26" eb="29">
      <t>カメヤマシ</t>
    </rPh>
    <rPh sb="29" eb="30">
      <t>シ</t>
    </rPh>
    <rPh sb="31" eb="33">
      <t>レキシ</t>
    </rPh>
    <rPh sb="33" eb="35">
      <t>ブンヤ</t>
    </rPh>
    <rPh sb="36" eb="38">
      <t>キンセイ</t>
    </rPh>
    <rPh sb="42" eb="44">
      <t>ネンピョウ</t>
    </rPh>
    <phoneticPr fontId="2"/>
  </si>
  <si>
    <t>学校のあゆみ／亀山城主石川家と家来の学校</t>
    <rPh sb="0" eb="2">
      <t>ガッコウ</t>
    </rPh>
    <rPh sb="7" eb="10">
      <t>カメヤマジョウ</t>
    </rPh>
    <rPh sb="10" eb="11">
      <t>シュ</t>
    </rPh>
    <rPh sb="11" eb="14">
      <t>イシカワケ</t>
    </rPh>
    <rPh sb="15" eb="17">
      <t>ケライ</t>
    </rPh>
    <rPh sb="18" eb="20">
      <t>ガッコウ</t>
    </rPh>
    <phoneticPr fontId="2"/>
  </si>
  <si>
    <t>http://kameyamarekihaku.jp/kodomo/w_e_b/ayumi/page001.html</t>
  </si>
  <si>
    <t>天明7</t>
  </si>
  <si>
    <t>寛政の改革がおこなわれる(松平定信～93)</t>
  </si>
  <si>
    <t>日本の歴史の中の亀山／近世の亀山／田沼の政治と寛政改革</t>
    <phoneticPr fontId="2"/>
  </si>
  <si>
    <t>孝子万吉、江戸にて報償をもらう</t>
  </si>
  <si>
    <t>関町坂下</t>
    <phoneticPr fontId="2"/>
  </si>
  <si>
    <t>孝子万吉</t>
  </si>
  <si>
    <t>「勢州鈴鹿孝子万吉伝」</t>
    <phoneticPr fontId="2"/>
  </si>
  <si>
    <t xml:space="preserve">『亀山地方郷土史』第三巻P.165
『鈴鹿関町史』上巻P.666
『亀山市史』通史　近世
</t>
    <rPh sb="33" eb="44">
      <t>キ</t>
    </rPh>
    <phoneticPr fontId="2"/>
  </si>
  <si>
    <t>亀山領内暴風雨、総被害３万石を超過する</t>
    <rPh sb="0" eb="2">
      <t>カメヤマ</t>
    </rPh>
    <rPh sb="2" eb="4">
      <t>リョウナイ</t>
    </rPh>
    <rPh sb="4" eb="7">
      <t>ボウフウウ</t>
    </rPh>
    <rPh sb="8" eb="9">
      <t>ソウ</t>
    </rPh>
    <rPh sb="9" eb="11">
      <t>ヒガイ</t>
    </rPh>
    <rPh sb="12" eb="14">
      <t>マンゴク</t>
    </rPh>
    <rPh sb="15" eb="17">
      <t>チョウカ</t>
    </rPh>
    <phoneticPr fontId="2"/>
  </si>
  <si>
    <t>『亀山地方郷土史』第三巻P.135</t>
    <rPh sb="1" eb="3">
      <t>カメヤマ</t>
    </rPh>
    <phoneticPr fontId="2"/>
  </si>
  <si>
    <t>天明8</t>
  </si>
  <si>
    <t>亀山領内大凶作となり、飢饉がおこる</t>
    <rPh sb="11" eb="13">
      <t>キキン</t>
    </rPh>
    <phoneticPr fontId="2"/>
  </si>
  <si>
    <t>画像史料：天保十年亥二月五カ年取締ヶ条書　鷲山村（市史近世・近代・現代史料データベース　館蔵地方大成2－12）</t>
    <rPh sb="0" eb="2">
      <t>ガゾウ</t>
    </rPh>
    <rPh sb="2" eb="4">
      <t>シリョウ</t>
    </rPh>
    <rPh sb="25" eb="26">
      <t>シ</t>
    </rPh>
    <rPh sb="26" eb="27">
      <t>シ</t>
    </rPh>
    <rPh sb="27" eb="29">
      <t>キンセイ</t>
    </rPh>
    <rPh sb="30" eb="32">
      <t>キンダイ</t>
    </rPh>
    <rPh sb="44" eb="46">
      <t>カンゾウ</t>
    </rPh>
    <phoneticPr fontId="2"/>
  </si>
  <si>
    <t>『亀山地方郷土史』第三巻P.135
『鈴鹿関町史』下巻年表
『鈴鹿関町史』上巻P.654
『亀山市史』歴史分野　近世ページ　年表
『亀山市史』通史　近世</t>
    <rPh sb="19" eb="21">
      <t>スズカ</t>
    </rPh>
    <rPh sb="21" eb="23">
      <t>セキチョウ</t>
    </rPh>
    <rPh sb="23" eb="24">
      <t>シ</t>
    </rPh>
    <rPh sb="25" eb="27">
      <t>ゲカン</t>
    </rPh>
    <rPh sb="27" eb="29">
      <t>ネンピョウ</t>
    </rPh>
    <rPh sb="46" eb="49">
      <t>カメヤマシ</t>
    </rPh>
    <rPh sb="49" eb="50">
      <t>シ</t>
    </rPh>
    <rPh sb="51" eb="53">
      <t>レキシ</t>
    </rPh>
    <rPh sb="53" eb="55">
      <t>ブンヤ</t>
    </rPh>
    <rPh sb="56" eb="58">
      <t>キンセイ</t>
    </rPh>
    <rPh sb="62" eb="64">
      <t>ネンピョウ</t>
    </rPh>
    <rPh sb="66" eb="68">
      <t>カメヤマ</t>
    </rPh>
    <rPh sb="68" eb="69">
      <t>シ</t>
    </rPh>
    <rPh sb="69" eb="70">
      <t>シ</t>
    </rPh>
    <rPh sb="71" eb="73">
      <t>ツウシ</t>
    </rPh>
    <rPh sb="74" eb="76">
      <t>キンセイ</t>
    </rPh>
    <phoneticPr fontId="2"/>
  </si>
  <si>
    <t>寛政3</t>
    <rPh sb="0" eb="2">
      <t>カンセイ</t>
    </rPh>
    <phoneticPr fontId="2"/>
  </si>
  <si>
    <t>亀山領内に暴風雨がおこり、大凶作となる</t>
    <rPh sb="5" eb="7">
      <t>ボウフウ</t>
    </rPh>
    <rPh sb="7" eb="8">
      <t>アメ</t>
    </rPh>
    <phoneticPr fontId="2"/>
  </si>
  <si>
    <t>『鈴鹿関町史』上巻P.654
『亀山市史』通史　近世</t>
    <rPh sb="15" eb="26">
      <t>キ</t>
    </rPh>
    <phoneticPr fontId="2"/>
  </si>
  <si>
    <t>寛政8</t>
  </si>
  <si>
    <t>石川総師、亀山城主になる</t>
  </si>
  <si>
    <t>石川総師</t>
  </si>
  <si>
    <t>亀山城と宿場／江戸時代の亀山城主／石川総慶・総堯・総純・総博・総師・総佐・総安・総惠・総禄・総脩・成之</t>
    <phoneticPr fontId="2"/>
  </si>
  <si>
    <t xml:space="preserve">『亀山市史』通史 近世
『亀山市史』歴史分野　近世ページ亀山城主の移り変わり・年表
</t>
    <rPh sb="12" eb="41">
      <t>ジョウシュ</t>
    </rPh>
    <phoneticPr fontId="2"/>
  </si>
  <si>
    <r>
      <t>寛政1</t>
    </r>
    <r>
      <rPr>
        <sz val="11"/>
        <rFont val="ＭＳ Ｐゴシック"/>
        <family val="3"/>
        <charset val="128"/>
      </rPr>
      <t>2</t>
    </r>
    <rPh sb="0" eb="2">
      <t>カンセイ</t>
    </rPh>
    <phoneticPr fontId="2"/>
  </si>
  <si>
    <t>大田南畝、大坂へ向かう途中、関宿に泊まり、地蔵院、蝦夷桜などの様子を書き記す</t>
    <rPh sb="0" eb="2">
      <t>オオタ</t>
    </rPh>
    <rPh sb="2" eb="3">
      <t>ミナミ</t>
    </rPh>
    <rPh sb="3" eb="4">
      <t>ウネ</t>
    </rPh>
    <rPh sb="5" eb="7">
      <t>オオサカ</t>
    </rPh>
    <rPh sb="8" eb="9">
      <t>ム</t>
    </rPh>
    <rPh sb="11" eb="13">
      <t>トチュウ</t>
    </rPh>
    <rPh sb="14" eb="15">
      <t>セキ</t>
    </rPh>
    <rPh sb="15" eb="16">
      <t>ヤド</t>
    </rPh>
    <rPh sb="17" eb="18">
      <t>ト</t>
    </rPh>
    <rPh sb="21" eb="23">
      <t>ジゾウ</t>
    </rPh>
    <rPh sb="23" eb="24">
      <t>イン</t>
    </rPh>
    <rPh sb="25" eb="27">
      <t>エゾ</t>
    </rPh>
    <rPh sb="27" eb="28">
      <t>ザクラ</t>
    </rPh>
    <rPh sb="31" eb="33">
      <t>ヨウス</t>
    </rPh>
    <rPh sb="34" eb="35">
      <t>カ</t>
    </rPh>
    <rPh sb="36" eb="37">
      <t>シル</t>
    </rPh>
    <phoneticPr fontId="2"/>
  </si>
  <si>
    <t>大田南畝</t>
    <rPh sb="0" eb="2">
      <t>オオタ</t>
    </rPh>
    <rPh sb="2" eb="3">
      <t>ミナミ</t>
    </rPh>
    <rPh sb="3" eb="4">
      <t>ウネ</t>
    </rPh>
    <phoneticPr fontId="2"/>
  </si>
  <si>
    <t>蝦夷桜碑</t>
    <rPh sb="0" eb="2">
      <t>エゾ</t>
    </rPh>
    <rPh sb="2" eb="3">
      <t>ザクラ</t>
    </rPh>
    <rPh sb="3" eb="4">
      <t>ヒ</t>
    </rPh>
    <phoneticPr fontId="2"/>
  </si>
  <si>
    <t>『改元紀行』</t>
    <rPh sb="1" eb="3">
      <t>カイゲン</t>
    </rPh>
    <rPh sb="3" eb="5">
      <t>キコウ</t>
    </rPh>
    <phoneticPr fontId="2"/>
  </si>
  <si>
    <t>亀山城と宿場／４つの宿場／東海道・伊勢街道・大和街道分岐の宿場 関宿</t>
    <rPh sb="0" eb="19">
      <t>カメヤマジョウトシュクバ・４ツノシュクバ・トウカイドウ・イセ</t>
    </rPh>
    <rPh sb="19" eb="21">
      <t>カイドウ</t>
    </rPh>
    <phoneticPr fontId="2"/>
  </si>
  <si>
    <t>亀山のいいとこさがし／景色のよいところや歴史を知る手掛かりとなるもの／関宿のまちなみ／新所のまちなみ／地蔵院本堂・鐘楼・愛染堂</t>
    <phoneticPr fontId="2"/>
  </si>
  <si>
    <t>享和2</t>
    <phoneticPr fontId="2"/>
  </si>
  <si>
    <t>大黒屋光太夫帰郷し、亀山御役所にまかり出る</t>
    <rPh sb="0" eb="2">
      <t>ダイコク</t>
    </rPh>
    <rPh sb="2" eb="3">
      <t>ヤ</t>
    </rPh>
    <rPh sb="3" eb="4">
      <t>ヒカリ</t>
    </rPh>
    <rPh sb="4" eb="6">
      <t>ダユウ</t>
    </rPh>
    <rPh sb="6" eb="8">
      <t>キキョウ</t>
    </rPh>
    <rPh sb="10" eb="12">
      <t>カメヤマ</t>
    </rPh>
    <rPh sb="12" eb="13">
      <t>オン</t>
    </rPh>
    <rPh sb="13" eb="15">
      <t>ヤクショ</t>
    </rPh>
    <rPh sb="19" eb="20">
      <t>デ</t>
    </rPh>
    <phoneticPr fontId="2"/>
  </si>
  <si>
    <t>本丸町</t>
    <phoneticPr fontId="2"/>
  </si>
  <si>
    <t>大黒屋光大夫</t>
    <rPh sb="0" eb="2">
      <t>ダイコク</t>
    </rPh>
    <rPh sb="2" eb="3">
      <t>ヤ</t>
    </rPh>
    <rPh sb="3" eb="4">
      <t>ヒカリ</t>
    </rPh>
    <rPh sb="4" eb="6">
      <t>タユウ</t>
    </rPh>
    <phoneticPr fontId="2"/>
  </si>
  <si>
    <t>『漂民台覧之記』
大黒屋光太夫自筆扇子</t>
    <rPh sb="1" eb="2">
      <t>ヒョウ</t>
    </rPh>
    <rPh sb="2" eb="3">
      <t>ミン</t>
    </rPh>
    <rPh sb="3" eb="4">
      <t>ダイ</t>
    </rPh>
    <rPh sb="4" eb="5">
      <t>ラン</t>
    </rPh>
    <rPh sb="5" eb="6">
      <t>ノ</t>
    </rPh>
    <rPh sb="6" eb="7">
      <t>キ</t>
    </rPh>
    <rPh sb="9" eb="12">
      <t>ダイコクヤ</t>
    </rPh>
    <rPh sb="12" eb="15">
      <t>コウダユウ</t>
    </rPh>
    <rPh sb="15" eb="17">
      <t>ジヒツ</t>
    </rPh>
    <rPh sb="17" eb="19">
      <t>センス</t>
    </rPh>
    <phoneticPr fontId="2"/>
  </si>
  <si>
    <t>日本の歴史の中の亀山／近世の亀山／外国船の出現と天保改革／あれからおよそ四十年、天保二年に写された大黒屋光太夫の記録</t>
    <rPh sb="36" eb="39">
      <t>４０ネン</t>
    </rPh>
    <rPh sb="40" eb="42">
      <t>テンポ</t>
    </rPh>
    <rPh sb="42" eb="44">
      <t>２ネン</t>
    </rPh>
    <rPh sb="45" eb="46">
      <t>ウツ</t>
    </rPh>
    <rPh sb="49" eb="51">
      <t>ダイコク</t>
    </rPh>
    <rPh sb="51" eb="52">
      <t>ヤ</t>
    </rPh>
    <rPh sb="52" eb="53">
      <t>ヒカリ</t>
    </rPh>
    <rPh sb="53" eb="55">
      <t>ダユウ</t>
    </rPh>
    <rPh sb="56" eb="58">
      <t>キロク</t>
    </rPh>
    <phoneticPr fontId="2"/>
  </si>
  <si>
    <t>http://kameyamarekihaku.jp/kodomo/w_e_b/rekishi/kinsei/tenpoukaikaku/page001.html</t>
  </si>
  <si>
    <t>『鈴鹿市史』第三巻</t>
    <rPh sb="1" eb="4">
      <t>スズカシ</t>
    </rPh>
    <rPh sb="4" eb="5">
      <t>シ</t>
    </rPh>
    <rPh sb="6" eb="7">
      <t>ダイ</t>
    </rPh>
    <rPh sb="7" eb="8">
      <t>サン</t>
    </rPh>
    <rPh sb="8" eb="9">
      <t>カン</t>
    </rPh>
    <phoneticPr fontId="2"/>
  </si>
  <si>
    <t>享和3</t>
    <phoneticPr fontId="2"/>
  </si>
  <si>
    <t>石川総佐、亀山城主になる</t>
  </si>
  <si>
    <t>石川総佐</t>
  </si>
  <si>
    <t>亀山城と宿場／江戸時代の亀山城主／石川総慶・総堯・総純・総博・総師・総佐・総安・総惠・総禄・総脩・成之</t>
    <phoneticPr fontId="2"/>
  </si>
  <si>
    <t>享和3</t>
  </si>
  <si>
    <t>「東海道亀山分間絵図」がつくられる</t>
    <phoneticPr fontId="2"/>
  </si>
  <si>
    <t>亀山西・亀山東・井田川・神辺・関</t>
  </si>
  <si>
    <t>東海道</t>
    <rPh sb="0" eb="3">
      <t>トウカイドウ</t>
    </rPh>
    <phoneticPr fontId="2"/>
  </si>
  <si>
    <t>亀山城と宿場／４つの宿場／城下町の宿場 亀山宿</t>
    <rPh sb="0" eb="3">
      <t>カメヤマジョウ</t>
    </rPh>
    <rPh sb="4" eb="7">
      <t>シュクバ・</t>
    </rPh>
    <rPh sb="10" eb="12">
      <t>シュクバ</t>
    </rPh>
    <rPh sb="13" eb="16">
      <t>ジョウカマチ</t>
    </rPh>
    <rPh sb="17" eb="19">
      <t>シュクバ</t>
    </rPh>
    <rPh sb="20" eb="22">
      <t>カメヤマ</t>
    </rPh>
    <rPh sb="22" eb="23">
      <t>シュク</t>
    </rPh>
    <phoneticPr fontId="2"/>
  </si>
  <si>
    <t>http://kameyamarekihaku.jp/kodomo/w_e_b/syukuba/4syukuba/page001.html</t>
  </si>
  <si>
    <t>図録『亀山領内の東海道絵図』
『亀山市史』通史　近世
資料提供による授業支援実践例〜亀中2年「東海道と亀山宿」</t>
    <rPh sb="15" eb="26">
      <t>キ</t>
    </rPh>
    <rPh sb="27" eb="29">
      <t>シリョウ</t>
    </rPh>
    <rPh sb="29" eb="31">
      <t>テイキョウ</t>
    </rPh>
    <rPh sb="34" eb="36">
      <t>ジュギョウ</t>
    </rPh>
    <rPh sb="36" eb="38">
      <t>シエン</t>
    </rPh>
    <rPh sb="38" eb="40">
      <t>ジッセン</t>
    </rPh>
    <rPh sb="40" eb="41">
      <t>レイ</t>
    </rPh>
    <phoneticPr fontId="2"/>
  </si>
  <si>
    <t>日本の歴史の中の亀山／近世の亀山／街道の宿場町を歩く</t>
    <rPh sb="17" eb="19">
      <t>カイドウ</t>
    </rPh>
    <rPh sb="20" eb="22">
      <t>シュクバ</t>
    </rPh>
    <rPh sb="22" eb="23">
      <t>マチ</t>
    </rPh>
    <rPh sb="24" eb="25">
      <t>アル</t>
    </rPh>
    <phoneticPr fontId="2"/>
  </si>
  <si>
    <t>画像史料：「東海道亀山分間絵図」（亀山市指定文化財）（個人蔵）</t>
    <rPh sb="0" eb="2">
      <t>ガゾウ</t>
    </rPh>
    <rPh sb="2" eb="4">
      <t>シリョウ</t>
    </rPh>
    <rPh sb="17" eb="20">
      <t>カメヤマシ</t>
    </rPh>
    <rPh sb="20" eb="22">
      <t>シテイ</t>
    </rPh>
    <rPh sb="22" eb="24">
      <t>ブンカ</t>
    </rPh>
    <rPh sb="24" eb="25">
      <t>ザイ</t>
    </rPh>
    <rPh sb="27" eb="29">
      <t>コジン</t>
    </rPh>
    <rPh sb="29" eb="30">
      <t>ゾウ</t>
    </rPh>
    <phoneticPr fontId="2"/>
  </si>
  <si>
    <t>日本の歴史の中の亀山／近世の亀山／街道の宿場町を歩く／五街道分間延絵図作成事業における亀山領内東海道現地測量</t>
    <rPh sb="27" eb="28">
      <t>５</t>
    </rPh>
    <rPh sb="28" eb="30">
      <t>カイドウ</t>
    </rPh>
    <rPh sb="30" eb="31">
      <t>ブン</t>
    </rPh>
    <rPh sb="31" eb="32">
      <t>マ</t>
    </rPh>
    <rPh sb="32" eb="33">
      <t>エン</t>
    </rPh>
    <rPh sb="33" eb="35">
      <t>エズ</t>
    </rPh>
    <rPh sb="35" eb="37">
      <t>サクセイ</t>
    </rPh>
    <rPh sb="37" eb="39">
      <t>ジギョウ</t>
    </rPh>
    <rPh sb="43" eb="45">
      <t>カメヤマ</t>
    </rPh>
    <rPh sb="45" eb="46">
      <t>リョウ</t>
    </rPh>
    <rPh sb="46" eb="47">
      <t>ナイ</t>
    </rPh>
    <rPh sb="47" eb="50">
      <t>トウカイドウ</t>
    </rPh>
    <rPh sb="50" eb="52">
      <t>ゲンチ</t>
    </rPh>
    <rPh sb="52" eb="54">
      <t>ソクリョウ</t>
    </rPh>
    <phoneticPr fontId="2"/>
  </si>
  <si>
    <t>http://kameyamarekihaku.jp/kodomo/w_e_b/rekishi/kinsei/syukubamachi/page001.html</t>
  </si>
  <si>
    <t>文化年間</t>
    <rPh sb="2" eb="4">
      <t>ネンカン</t>
    </rPh>
    <phoneticPr fontId="2"/>
  </si>
  <si>
    <t>このころ関三町の曳山が始まる</t>
    <phoneticPr fontId="2"/>
  </si>
  <si>
    <t>関町木崎・関町中町・関町新所</t>
    <phoneticPr fontId="2"/>
  </si>
  <si>
    <t>木崎見送り幕（寄託）</t>
  </si>
  <si>
    <t>『鈴鹿関町史』上巻P.622</t>
    <rPh sb="1" eb="3">
      <t>スズカ</t>
    </rPh>
    <rPh sb="3" eb="5">
      <t>セキチョウ</t>
    </rPh>
    <rPh sb="5" eb="6">
      <t>シ</t>
    </rPh>
    <rPh sb="7" eb="9">
      <t>ジョウカン</t>
    </rPh>
    <phoneticPr fontId="2"/>
  </si>
  <si>
    <t>文化3</t>
  </si>
  <si>
    <t>坂下宿大火にて、大竹屋・松屋・梅屋の3本陣と脇本陣の鶴屋・平屋12～13軒が類焼</t>
    <rPh sb="8" eb="10">
      <t>オオタケ</t>
    </rPh>
    <rPh sb="10" eb="11">
      <t>ヤ</t>
    </rPh>
    <rPh sb="12" eb="13">
      <t>マツ</t>
    </rPh>
    <rPh sb="13" eb="14">
      <t>ヤ</t>
    </rPh>
    <rPh sb="15" eb="16">
      <t>ウメ</t>
    </rPh>
    <rPh sb="16" eb="17">
      <t>ヤ</t>
    </rPh>
    <rPh sb="19" eb="21">
      <t>ホンジン</t>
    </rPh>
    <rPh sb="22" eb="23">
      <t>ワキ</t>
    </rPh>
    <rPh sb="23" eb="25">
      <t>ホンジン</t>
    </rPh>
    <rPh sb="26" eb="28">
      <t>ツルヤ</t>
    </rPh>
    <rPh sb="29" eb="31">
      <t>ヒラヤ</t>
    </rPh>
    <rPh sb="36" eb="37">
      <t>ケン</t>
    </rPh>
    <rPh sb="38" eb="40">
      <t>ルイショウ</t>
    </rPh>
    <phoneticPr fontId="2"/>
  </si>
  <si>
    <t>関町坂下</t>
    <phoneticPr fontId="2"/>
  </si>
  <si>
    <t>大竹屋・松屋・梅屋・鶴屋・平屋</t>
  </si>
  <si>
    <t>文化5</t>
    <phoneticPr fontId="2"/>
  </si>
  <si>
    <t>間宮林蔵が樺太を探検する(～09)</t>
  </si>
  <si>
    <t>文化9</t>
  </si>
  <si>
    <t>亀山城二之丸御殿が焼ける</t>
    <phoneticPr fontId="2"/>
  </si>
  <si>
    <t>亀山西</t>
    <phoneticPr fontId="2"/>
  </si>
  <si>
    <t>亀山城二之丸</t>
  </si>
  <si>
    <t>二之丸御殿絵図</t>
  </si>
  <si>
    <t>亀山城と宿場／亀山城のつくり／御殿／二之丸御殿</t>
    <rPh sb="15" eb="17">
      <t>ゴテン</t>
    </rPh>
    <rPh sb="18" eb="19">
      <t>ニ</t>
    </rPh>
    <rPh sb="19" eb="20">
      <t>ノ</t>
    </rPh>
    <rPh sb="20" eb="21">
      <t>マル</t>
    </rPh>
    <rPh sb="21" eb="23">
      <t>ゴテン</t>
    </rPh>
    <phoneticPr fontId="2"/>
  </si>
  <si>
    <t>http://kameyamarekihaku.jp/kodomo/w_e_b/syukuba/tsukuri/goten/page002.html</t>
  </si>
  <si>
    <t>『亀山市史』歴史分野　近世ページ　年表
『亀山市史』通史　近世</t>
    <rPh sb="1" eb="4">
      <t>カメヤマシ</t>
    </rPh>
    <rPh sb="4" eb="5">
      <t>シ</t>
    </rPh>
    <rPh sb="6" eb="8">
      <t>レキシ</t>
    </rPh>
    <rPh sb="8" eb="10">
      <t>ブンヤ</t>
    </rPh>
    <rPh sb="11" eb="13">
      <t>キンセイ</t>
    </rPh>
    <rPh sb="17" eb="19">
      <t>ネンピョウ</t>
    </rPh>
    <rPh sb="21" eb="25">
      <t>カメヤマシシ</t>
    </rPh>
    <rPh sb="26" eb="28">
      <t>ツウシ</t>
    </rPh>
    <rPh sb="29" eb="31">
      <t>キンセイ</t>
    </rPh>
    <phoneticPr fontId="2"/>
  </si>
  <si>
    <t>文化11</t>
    <phoneticPr fontId="2"/>
  </si>
  <si>
    <t>伊能忠敬測量のため亀山に入る　</t>
    <phoneticPr fontId="2"/>
  </si>
  <si>
    <t>亀山西・亀山東・川崎</t>
  </si>
  <si>
    <t>東海道</t>
    <phoneticPr fontId="2"/>
  </si>
  <si>
    <t>伊能忠敬</t>
  </si>
  <si>
    <t>むかしの道と交通／亀山の近世の道</t>
    <phoneticPr fontId="2"/>
  </si>
  <si>
    <t>『美濃街道・濃州道・八風道・菰野道・巡見道・巡礼道・鈴鹿の峠道』</t>
    <rPh sb="1" eb="3">
      <t>ミノ</t>
    </rPh>
    <rPh sb="3" eb="5">
      <t>カイドウ</t>
    </rPh>
    <rPh sb="6" eb="7">
      <t>ノウ</t>
    </rPh>
    <rPh sb="7" eb="8">
      <t>シュウ</t>
    </rPh>
    <rPh sb="8" eb="9">
      <t>ミチ</t>
    </rPh>
    <rPh sb="10" eb="11">
      <t>ハチ</t>
    </rPh>
    <rPh sb="11" eb="12">
      <t>カゼ</t>
    </rPh>
    <rPh sb="12" eb="13">
      <t>ミチ</t>
    </rPh>
    <rPh sb="14" eb="16">
      <t>コモノ</t>
    </rPh>
    <rPh sb="16" eb="17">
      <t>ドウ</t>
    </rPh>
    <rPh sb="18" eb="20">
      <t>ジュンケン</t>
    </rPh>
    <rPh sb="20" eb="21">
      <t>ドウ</t>
    </rPh>
    <rPh sb="22" eb="24">
      <t>ジュンレイ</t>
    </rPh>
    <rPh sb="24" eb="25">
      <t>ドウ</t>
    </rPh>
    <rPh sb="26" eb="28">
      <t>スズカ</t>
    </rPh>
    <rPh sb="29" eb="30">
      <t>トウゲ</t>
    </rPh>
    <rPh sb="30" eb="31">
      <t>ミチ</t>
    </rPh>
    <phoneticPr fontId="2"/>
  </si>
  <si>
    <t>江戸を中心に町人の文化が栄える</t>
  </si>
  <si>
    <t>日本の歴史の中の亀山／近世の亀山／新しい学問と化政文化</t>
    <rPh sb="0" eb="17">
      <t>ニホンノレキシノナカノカメヤマ／キンセイノカメヤマ・</t>
    </rPh>
    <rPh sb="17" eb="18">
      <t>アタラ</t>
    </rPh>
    <rPh sb="20" eb="22">
      <t>ガクモン</t>
    </rPh>
    <rPh sb="23" eb="25">
      <t>カセイ</t>
    </rPh>
    <rPh sb="25" eb="27">
      <t>ブンカ</t>
    </rPh>
    <phoneticPr fontId="2"/>
  </si>
  <si>
    <t>http://kameyamarekihaku.jp/kodomo/w_e_b/rekishi/kinsei/kaseibunka/index.html</t>
  </si>
  <si>
    <t>企画展Web図録</t>
    <rPh sb="0" eb="3">
      <t>キカクテン</t>
    </rPh>
    <rPh sb="6" eb="8">
      <t>ズロク</t>
    </rPh>
    <phoneticPr fontId="2"/>
  </si>
  <si>
    <t>文政3</t>
  </si>
  <si>
    <t>石川総安、亀山城主になる</t>
  </si>
  <si>
    <t>石川総安</t>
  </si>
  <si>
    <t>文政6</t>
    <phoneticPr fontId="2"/>
  </si>
  <si>
    <t>藩校明倫舎を南崎から亀山城内西之丸に移設する</t>
    <rPh sb="0" eb="2">
      <t>ハンコウ</t>
    </rPh>
    <rPh sb="2" eb="4">
      <t>メイリン</t>
    </rPh>
    <rPh sb="4" eb="5">
      <t>シャ</t>
    </rPh>
    <rPh sb="6" eb="7">
      <t>ミナミ</t>
    </rPh>
    <rPh sb="7" eb="8">
      <t>サキ</t>
    </rPh>
    <rPh sb="10" eb="12">
      <t>カメヤマ</t>
    </rPh>
    <rPh sb="12" eb="14">
      <t>ジョウナイ</t>
    </rPh>
    <rPh sb="14" eb="16">
      <t>ニシノ</t>
    </rPh>
    <rPh sb="16" eb="17">
      <t>マル</t>
    </rPh>
    <rPh sb="18" eb="20">
      <t>イセツ</t>
    </rPh>
    <phoneticPr fontId="2"/>
  </si>
  <si>
    <t>西丸町・南崎町</t>
    <rPh sb="0" eb="3">
      <t>ニシマルチョウ</t>
    </rPh>
    <rPh sb="4" eb="7">
      <t>ミナミザキチョウ</t>
    </rPh>
    <phoneticPr fontId="2"/>
  </si>
  <si>
    <t>藩校明倫舎</t>
    <phoneticPr fontId="2"/>
  </si>
  <si>
    <t>亀山城と宿場／亀山城のつくり／西之丸</t>
    <rPh sb="15" eb="16">
      <t>ニシ</t>
    </rPh>
    <rPh sb="16" eb="17">
      <t>コレ</t>
    </rPh>
    <rPh sb="17" eb="18">
      <t>マル</t>
    </rPh>
    <phoneticPr fontId="2"/>
  </si>
  <si>
    <t>http://kameyamarekihaku.jp/kodomo/w_e_b/syukuba/tsukuri/page007.html</t>
  </si>
  <si>
    <t>『亀山市史』通史 近世
『亀山市史』考古分野</t>
    <rPh sb="13" eb="16">
      <t>カメヤマシ</t>
    </rPh>
    <rPh sb="16" eb="17">
      <t>シ</t>
    </rPh>
    <rPh sb="18" eb="20">
      <t>コウコ</t>
    </rPh>
    <rPh sb="20" eb="22">
      <t>ブンヤ</t>
    </rPh>
    <phoneticPr fontId="2"/>
  </si>
  <si>
    <t>「蔡州君遺事」（市史近世・近代・現代史料データベース　館蔵加藤家文書59-0-12）")</t>
    <phoneticPr fontId="2"/>
  </si>
  <si>
    <t>学校のあゆみ／亀山城主石川家と家来の学校</t>
    <phoneticPr fontId="2"/>
  </si>
  <si>
    <t>文政8</t>
    <phoneticPr fontId="2"/>
  </si>
  <si>
    <t>異国船打払令が出される</t>
  </si>
  <si>
    <t>日本の歴史の中の亀山／近世の亀山／外国船の出現と天保改革</t>
    <phoneticPr fontId="2"/>
  </si>
  <si>
    <t>http://kameyamarekihaku.jp/kodomo/w_e_b/rekishi/kinsei/tenpoukaikaku/index.html</t>
  </si>
  <si>
    <t>関町中町大火（真弓火事）</t>
    <rPh sb="0" eb="1">
      <t>セキ</t>
    </rPh>
    <rPh sb="1" eb="2">
      <t>チョウ</t>
    </rPh>
    <rPh sb="2" eb="4">
      <t>ナカマチ</t>
    </rPh>
    <rPh sb="4" eb="6">
      <t>タイカ</t>
    </rPh>
    <rPh sb="7" eb="9">
      <t>マユミ</t>
    </rPh>
    <rPh sb="9" eb="11">
      <t>カジ</t>
    </rPh>
    <phoneticPr fontId="2"/>
  </si>
  <si>
    <t>関町中町</t>
    <rPh sb="0" eb="1">
      <t>セキ</t>
    </rPh>
    <rPh sb="1" eb="2">
      <t>チョウ</t>
    </rPh>
    <rPh sb="2" eb="4">
      <t>ナカマチ</t>
    </rPh>
    <phoneticPr fontId="2"/>
  </si>
  <si>
    <t>真弓休四郎</t>
    <rPh sb="0" eb="2">
      <t>マユミ</t>
    </rPh>
    <rPh sb="2" eb="3">
      <t>キュウ</t>
    </rPh>
    <rPh sb="3" eb="5">
      <t>シロウ</t>
    </rPh>
    <phoneticPr fontId="2"/>
  </si>
  <si>
    <t>『鈴鹿関町史』上巻P.647</t>
    <rPh sb="1" eb="3">
      <t>スズカ</t>
    </rPh>
    <rPh sb="3" eb="5">
      <t>セキチョウ</t>
    </rPh>
    <rPh sb="5" eb="6">
      <t>シ</t>
    </rPh>
    <rPh sb="7" eb="9">
      <t>ジョウカン</t>
    </rPh>
    <phoneticPr fontId="2"/>
  </si>
  <si>
    <t>文政9</t>
  </si>
  <si>
    <t>シーボルト、江戸参府のため亀山を通過、その時オオサンショウウオを捕獲する</t>
    <phoneticPr fontId="2"/>
  </si>
  <si>
    <t>関
亀山西</t>
    <rPh sb="0" eb="1">
      <t>セキ</t>
    </rPh>
    <rPh sb="2" eb="4">
      <t>カメヤマ</t>
    </rPh>
    <rPh sb="4" eb="5">
      <t>ニシ</t>
    </rPh>
    <phoneticPr fontId="2"/>
  </si>
  <si>
    <t>関町坂下
西町</t>
    <rPh sb="0" eb="2">
      <t>セキチョウ</t>
    </rPh>
    <rPh sb="2" eb="4">
      <t>サカシタ</t>
    </rPh>
    <rPh sb="5" eb="7">
      <t>ニシマチ</t>
    </rPh>
    <phoneticPr fontId="2"/>
  </si>
  <si>
    <t>東海道</t>
  </si>
  <si>
    <t>シーボルト</t>
    <phoneticPr fontId="2"/>
  </si>
  <si>
    <t>『亀山市史』自然分野</t>
    <rPh sb="8" eb="10">
      <t>ブンヤ</t>
    </rPh>
    <phoneticPr fontId="2"/>
  </si>
  <si>
    <t>亀山のいいとこさがし／動物や植物／動物</t>
    <rPh sb="11" eb="13">
      <t>ドウブツ</t>
    </rPh>
    <rPh sb="14" eb="16">
      <t>ショクブツ</t>
    </rPh>
    <rPh sb="17" eb="19">
      <t>ドウブツ</t>
    </rPh>
    <phoneticPr fontId="2"/>
  </si>
  <si>
    <t>http://kameyamarekihaku.jp/kodomo/w_e_b/iitoko/doubutsu/page001.html</t>
  </si>
  <si>
    <r>
      <t>文政1</t>
    </r>
    <r>
      <rPr>
        <sz val="11"/>
        <rFont val="ＭＳ Ｐゴシック"/>
        <family val="3"/>
        <charset val="128"/>
      </rPr>
      <t>1</t>
    </r>
    <phoneticPr fontId="2"/>
  </si>
  <si>
    <t>心形刀流の山崎雪柳軒が江戸で誕生</t>
    <rPh sb="0" eb="1">
      <t>シン</t>
    </rPh>
    <rPh sb="1" eb="2">
      <t>ギョウ</t>
    </rPh>
    <rPh sb="2" eb="3">
      <t>トウ</t>
    </rPh>
    <rPh sb="3" eb="4">
      <t>リュウ</t>
    </rPh>
    <rPh sb="5" eb="7">
      <t>ヤマザキ</t>
    </rPh>
    <rPh sb="7" eb="8">
      <t>セツ</t>
    </rPh>
    <rPh sb="8" eb="9">
      <t>リュウ</t>
    </rPh>
    <rPh sb="9" eb="10">
      <t>ケン</t>
    </rPh>
    <rPh sb="11" eb="13">
      <t>エド</t>
    </rPh>
    <rPh sb="14" eb="16">
      <t>タンジョウ</t>
    </rPh>
    <phoneticPr fontId="2"/>
  </si>
  <si>
    <t>山崎雪柳軒</t>
    <phoneticPr fontId="2"/>
  </si>
  <si>
    <t>碑の拓本</t>
    <rPh sb="0" eb="1">
      <t>ヒ</t>
    </rPh>
    <rPh sb="2" eb="4">
      <t>タクホン</t>
    </rPh>
    <phoneticPr fontId="2"/>
  </si>
  <si>
    <t>亀山のいいとこさがし／人々がつたえてきたこと／技や仕事／心形刀流武芸形</t>
    <phoneticPr fontId="2"/>
  </si>
  <si>
    <t>http://kameyamarekihaku.jp/kodomo/w_e_b/iitoko/hitobito/waza/page001.html</t>
  </si>
  <si>
    <t>『亀山地方郷土史』第三巻P.234
『亀山市史』考古分野
平成25年度亀山市地域歴史遺産（亀山藩御流儀心形刀流武芸形）保存継承活用事業パンフレット</t>
    <rPh sb="19" eb="21">
      <t>カメヤマ</t>
    </rPh>
    <rPh sb="21" eb="22">
      <t>シ</t>
    </rPh>
    <rPh sb="22" eb="23">
      <t>シ</t>
    </rPh>
    <rPh sb="24" eb="26">
      <t>コウコ</t>
    </rPh>
    <rPh sb="26" eb="28">
      <t>ブンヤ</t>
    </rPh>
    <phoneticPr fontId="2"/>
  </si>
  <si>
    <t>文政12</t>
    <phoneticPr fontId="2"/>
  </si>
  <si>
    <t>堀池衡山・久道親子が『掲楣算法』を出版する</t>
    <rPh sb="12" eb="13">
      <t>ビ</t>
    </rPh>
    <phoneticPr fontId="2"/>
  </si>
  <si>
    <t>堀池衡山・久道</t>
  </si>
  <si>
    <t>掲楣算法（市指定文化財）</t>
    <rPh sb="1" eb="2">
      <t>ビ</t>
    </rPh>
    <rPh sb="5" eb="6">
      <t>シ</t>
    </rPh>
    <rPh sb="6" eb="8">
      <t>シテイ</t>
    </rPh>
    <rPh sb="8" eb="11">
      <t>ブンカザイ</t>
    </rPh>
    <phoneticPr fontId="2"/>
  </si>
  <si>
    <t>『亀山市史』歴史分野　近世ページ　年表
『亀山地方郷土史』第三巻P.210
『亀山市文化財』
『亀山市史』通史　近世</t>
    <rPh sb="1" eb="4">
      <t>カメヤマシ</t>
    </rPh>
    <rPh sb="4" eb="5">
      <t>シ</t>
    </rPh>
    <rPh sb="6" eb="8">
      <t>レキシ</t>
    </rPh>
    <rPh sb="8" eb="10">
      <t>ブンヤ</t>
    </rPh>
    <rPh sb="11" eb="13">
      <t>キンセイ</t>
    </rPh>
    <rPh sb="17" eb="19">
      <t>ネンピョウ</t>
    </rPh>
    <rPh sb="21" eb="23">
      <t>カメヤマ</t>
    </rPh>
    <rPh sb="23" eb="25">
      <t>チホウ</t>
    </rPh>
    <rPh sb="25" eb="28">
      <t>キョウドシ</t>
    </rPh>
    <rPh sb="29" eb="30">
      <t>ダイ</t>
    </rPh>
    <rPh sb="30" eb="31">
      <t>サン</t>
    </rPh>
    <rPh sb="31" eb="32">
      <t>カン</t>
    </rPh>
    <rPh sb="39" eb="42">
      <t>カメヤマシ</t>
    </rPh>
    <rPh sb="42" eb="45">
      <t>ブンカザイ</t>
    </rPh>
    <rPh sb="48" eb="51">
      <t>カメヤマシ</t>
    </rPh>
    <rPh sb="51" eb="52">
      <t>シ</t>
    </rPh>
    <rPh sb="53" eb="55">
      <t>ツウシ</t>
    </rPh>
    <rPh sb="56" eb="58">
      <t>キンセイ</t>
    </rPh>
    <phoneticPr fontId="2"/>
  </si>
  <si>
    <t>天保4</t>
  </si>
  <si>
    <t>天保のききんがおこる(～39)</t>
  </si>
  <si>
    <t>石川総恵（総和）、亀山城主になる</t>
  </si>
  <si>
    <t>石川総恵（総和）</t>
  </si>
  <si>
    <t>天保7</t>
  </si>
  <si>
    <t>強風で亀山城などに被害が出る</t>
    <rPh sb="0" eb="2">
      <t>キョウフウ</t>
    </rPh>
    <rPh sb="3" eb="5">
      <t>カメヤマ</t>
    </rPh>
    <rPh sb="5" eb="6">
      <t>シロ</t>
    </rPh>
    <rPh sb="9" eb="11">
      <t>ヒガイ</t>
    </rPh>
    <rPh sb="12" eb="13">
      <t>デ</t>
    </rPh>
    <phoneticPr fontId="2"/>
  </si>
  <si>
    <t>天野家文書</t>
    <rPh sb="0" eb="2">
      <t>アマノ</t>
    </rPh>
    <rPh sb="2" eb="3">
      <t>イエ</t>
    </rPh>
    <rPh sb="3" eb="5">
      <t>モンジョ</t>
    </rPh>
    <phoneticPr fontId="2"/>
  </si>
  <si>
    <t>天保8</t>
  </si>
  <si>
    <t>暴風雨、亀山城西之丸東南隅櫓が倒壊</t>
    <rPh sb="0" eb="3">
      <t>ボウフウウ</t>
    </rPh>
    <rPh sb="4" eb="6">
      <t>カメヤマ</t>
    </rPh>
    <rPh sb="6" eb="7">
      <t>シロ</t>
    </rPh>
    <rPh sb="7" eb="8">
      <t>ニシ</t>
    </rPh>
    <rPh sb="8" eb="9">
      <t>ノ</t>
    </rPh>
    <rPh sb="9" eb="10">
      <t>マル</t>
    </rPh>
    <rPh sb="10" eb="12">
      <t>トウナン</t>
    </rPh>
    <rPh sb="12" eb="14">
      <t>スミヤグラ</t>
    </rPh>
    <rPh sb="15" eb="17">
      <t>トウカイ</t>
    </rPh>
    <phoneticPr fontId="2"/>
  </si>
  <si>
    <t>西丸町</t>
    <rPh sb="0" eb="3">
      <t>ニシマルチョウ</t>
    </rPh>
    <phoneticPr fontId="2"/>
  </si>
  <si>
    <t>亀山城西之丸</t>
    <phoneticPr fontId="2"/>
  </si>
  <si>
    <t>『亀山地方郷土史』第三巻年表P.393
『亀山市史』通史　近世</t>
    <rPh sb="12" eb="14">
      <t>ネンピョウ</t>
    </rPh>
    <rPh sb="20" eb="31">
      <t>キ</t>
    </rPh>
    <phoneticPr fontId="2"/>
  </si>
  <si>
    <t>大塩の乱がおこる</t>
  </si>
  <si>
    <t>秀繁日記十三番「天保八丁酉年覚書十三番」（市史近世・近代・現代史料データベース　館蔵加藤家文書50-0-180）</t>
    <rPh sb="0" eb="2">
      <t>ヒデシゲ</t>
    </rPh>
    <rPh sb="2" eb="4">
      <t>ニッキ</t>
    </rPh>
    <rPh sb="4" eb="7">
      <t>１３バン</t>
    </rPh>
    <rPh sb="8" eb="10">
      <t>テンポウ</t>
    </rPh>
    <rPh sb="10" eb="11">
      <t>８</t>
    </rPh>
    <rPh sb="11" eb="12">
      <t>チョウ</t>
    </rPh>
    <rPh sb="12" eb="14">
      <t>トリドシ</t>
    </rPh>
    <rPh sb="14" eb="16">
      <t>オボエガキ</t>
    </rPh>
    <rPh sb="16" eb="19">
      <t>ジュウサンバン</t>
    </rPh>
    <rPh sb="21" eb="22">
      <t>シ</t>
    </rPh>
    <rPh sb="22" eb="23">
      <t>シ</t>
    </rPh>
    <rPh sb="23" eb="25">
      <t>キンセイ</t>
    </rPh>
    <rPh sb="26" eb="28">
      <t>キンダイ</t>
    </rPh>
    <rPh sb="29" eb="33">
      <t>ゲンダイシリョウ</t>
    </rPh>
    <rPh sb="40" eb="42">
      <t>カンゾウ</t>
    </rPh>
    <rPh sb="42" eb="45">
      <t>カトウケ</t>
    </rPh>
    <rPh sb="45" eb="47">
      <t>モンジョ</t>
    </rPh>
    <phoneticPr fontId="2"/>
  </si>
  <si>
    <t>日本の歴史の中の亀山／近世の亀山／外国船の出現と天保改革／手配された大塩平八郎</t>
    <rPh sb="29" eb="31">
      <t>テハイ</t>
    </rPh>
    <rPh sb="34" eb="39">
      <t>オオシオヘイハチロウ</t>
    </rPh>
    <phoneticPr fontId="2"/>
  </si>
  <si>
    <t>http://kameyamarekihaku.jp/kodomo/w_e_b/rekishi/kinsei/tenpoukaikaku/page003.html</t>
  </si>
  <si>
    <t>館蔵天野家文書（天野家日記）</t>
    <rPh sb="0" eb="2">
      <t>カンゾウ</t>
    </rPh>
    <rPh sb="2" eb="5">
      <t>アマノケ</t>
    </rPh>
    <rPh sb="5" eb="7">
      <t>モンジョ</t>
    </rPh>
    <rPh sb="8" eb="11">
      <t>アマノケ</t>
    </rPh>
    <rPh sb="11" eb="13">
      <t>ニッキ</t>
    </rPh>
    <phoneticPr fontId="2"/>
  </si>
  <si>
    <t>亀山に飢饉がおこる</t>
  </si>
  <si>
    <t>天保10</t>
  </si>
  <si>
    <t>渡辺華山・高野長英などがとらえられる</t>
    <rPh sb="2" eb="3">
      <t>カ</t>
    </rPh>
    <phoneticPr fontId="2"/>
  </si>
  <si>
    <t>天保12</t>
  </si>
  <si>
    <t>天保の改革がおこなわれる(水野忠邦～43)</t>
  </si>
  <si>
    <t>天保14</t>
    <phoneticPr fontId="2"/>
  </si>
  <si>
    <t>大地震が起き、亀山城の塀や石垣に被害が出る</t>
    <rPh sb="0" eb="3">
      <t>ダイジシン</t>
    </rPh>
    <rPh sb="4" eb="5">
      <t>オ</t>
    </rPh>
    <rPh sb="7" eb="9">
      <t>カメヤマ</t>
    </rPh>
    <rPh sb="9" eb="10">
      <t>シロ</t>
    </rPh>
    <rPh sb="11" eb="12">
      <t>ヘイ</t>
    </rPh>
    <rPh sb="13" eb="15">
      <t>イシガキ</t>
    </rPh>
    <rPh sb="16" eb="18">
      <t>ヒガイ</t>
    </rPh>
    <rPh sb="19" eb="20">
      <t>デ</t>
    </rPh>
    <phoneticPr fontId="2"/>
  </si>
  <si>
    <t>本丸町</t>
  </si>
  <si>
    <t>亀山城と宿場／亀山城のつくり／塀</t>
    <rPh sb="0" eb="3">
      <t>カメヤマジョウ</t>
    </rPh>
    <rPh sb="4" eb="6">
      <t>シュクバ</t>
    </rPh>
    <rPh sb="7" eb="10">
      <t>カメヤマジョウ</t>
    </rPh>
    <rPh sb="15" eb="16">
      <t>ヘイ</t>
    </rPh>
    <phoneticPr fontId="2"/>
  </si>
  <si>
    <t>http://kameyamarekihaku.jp/kodomo/w_e_b/syukuba/tsukuri/page010.html</t>
  </si>
  <si>
    <t>亀山城と宿場／亀山城のつくり／石垣</t>
    <rPh sb="0" eb="3">
      <t>カメヤマジョウ</t>
    </rPh>
    <rPh sb="4" eb="6">
      <t>シュクバ</t>
    </rPh>
    <rPh sb="7" eb="10">
      <t>カメヤマジョウ</t>
    </rPh>
    <rPh sb="15" eb="17">
      <t>イシガキ</t>
    </rPh>
    <phoneticPr fontId="2"/>
  </si>
  <si>
    <t>http://kameyamarekihaku.jp/kodomo/w_e_b/syukuba/tsukuri/ishigaki/index.html</t>
  </si>
  <si>
    <t>市ノ瀬村で火事</t>
    <rPh sb="0" eb="1">
      <t>イチ</t>
    </rPh>
    <rPh sb="2" eb="3">
      <t>セ</t>
    </rPh>
    <rPh sb="3" eb="4">
      <t>ムラ</t>
    </rPh>
    <rPh sb="5" eb="7">
      <t>カジ</t>
    </rPh>
    <phoneticPr fontId="2"/>
  </si>
  <si>
    <t>関町市瀬</t>
    <rPh sb="2" eb="3">
      <t>イチ</t>
    </rPh>
    <rPh sb="3" eb="4">
      <t>セ</t>
    </rPh>
    <phoneticPr fontId="2"/>
  </si>
  <si>
    <t>市ノ瀬村</t>
  </si>
  <si>
    <t>幕府の政治がゆきづまリはじめる</t>
  </si>
  <si>
    <t>嘉永6</t>
  </si>
  <si>
    <t>ペリーが浦賀に来る</t>
  </si>
  <si>
    <t>日本の歴史の中の亀山／近世の亀山／開国と不平等条約／ペリー来航</t>
    <rPh sb="17" eb="19">
      <t>カイコク</t>
    </rPh>
    <rPh sb="20" eb="23">
      <t>フビョウドウ</t>
    </rPh>
    <rPh sb="23" eb="25">
      <t>ジョウヤク</t>
    </rPh>
    <rPh sb="29" eb="31">
      <t>ライコウ</t>
    </rPh>
    <phoneticPr fontId="2"/>
  </si>
  <si>
    <t>http://kameyamarekihaku.jp/kodomo/w_e_b/rekishi/kinsei/kaikoku/page001.html</t>
  </si>
  <si>
    <t>『歴史ひろば』
館蔵資料提供による授業支援実践例〜井田川小6年「明治維新から世界の中の日本へ」</t>
    <rPh sb="1" eb="3">
      <t>レキシ</t>
    </rPh>
    <rPh sb="8" eb="10">
      <t>カンゾウ</t>
    </rPh>
    <rPh sb="10" eb="12">
      <t>シリョウ</t>
    </rPh>
    <rPh sb="12" eb="14">
      <t>テイキョウ</t>
    </rPh>
    <rPh sb="17" eb="19">
      <t>ジュギョウ</t>
    </rPh>
    <rPh sb="19" eb="21">
      <t>シエン</t>
    </rPh>
    <rPh sb="21" eb="23">
      <t>ジッセン</t>
    </rPh>
    <rPh sb="23" eb="24">
      <t>レイ</t>
    </rPh>
    <phoneticPr fontId="2"/>
  </si>
  <si>
    <t>『合衆国伯理璽天徳書翰和解(がっしゅうこくプレジデントしょかんわげ)』（市史近世・近代・現代史料データベース　館蔵加藤家文書34-0-3）</t>
    <rPh sb="1" eb="4">
      <t>ガッシュウコク</t>
    </rPh>
    <rPh sb="36" eb="37">
      <t>シ</t>
    </rPh>
    <rPh sb="37" eb="38">
      <t>シ</t>
    </rPh>
    <rPh sb="38" eb="40">
      <t>キンセイ</t>
    </rPh>
    <rPh sb="41" eb="43">
      <t>キンダイ</t>
    </rPh>
    <rPh sb="44" eb="48">
      <t>ゲンダイシリョウ</t>
    </rPh>
    <rPh sb="55" eb="57">
      <t>カンゾウ</t>
    </rPh>
    <rPh sb="57" eb="60">
      <t>カトウケ</t>
    </rPh>
    <rPh sb="60" eb="62">
      <t>モンジョ</t>
    </rPh>
    <phoneticPr fontId="2"/>
  </si>
  <si>
    <t>石川総定（総禄）、亀山城主になる</t>
  </si>
  <si>
    <t>石川総定（総禄）</t>
  </si>
  <si>
    <t>嘉永7／安政元</t>
  </si>
  <si>
    <t>日米和親条約を結ぶ</t>
    <phoneticPr fontId="2"/>
  </si>
  <si>
    <t>二度（伊賀上野地震・東海）の大地震おこる
亀山城石坂門・太鼓櫓が倒壊、領内の全半壊2,483軒、死者38名負傷者52名、山崩1,633か所</t>
    <rPh sb="0" eb="2">
      <t>ニド</t>
    </rPh>
    <rPh sb="14" eb="15">
      <t>ダイ</t>
    </rPh>
    <rPh sb="15" eb="17">
      <t>ジシン</t>
    </rPh>
    <rPh sb="21" eb="23">
      <t>カメヤマ</t>
    </rPh>
    <rPh sb="23" eb="24">
      <t>シロ</t>
    </rPh>
    <rPh sb="24" eb="26">
      <t>イシザカ</t>
    </rPh>
    <rPh sb="26" eb="27">
      <t>モン</t>
    </rPh>
    <rPh sb="28" eb="30">
      <t>タイコ</t>
    </rPh>
    <rPh sb="30" eb="31">
      <t>ヤグラ</t>
    </rPh>
    <rPh sb="32" eb="34">
      <t>トウカイ</t>
    </rPh>
    <rPh sb="35" eb="37">
      <t>リョウナイ</t>
    </rPh>
    <rPh sb="38" eb="41">
      <t>ゼンハンカイ</t>
    </rPh>
    <rPh sb="46" eb="47">
      <t>ケン</t>
    </rPh>
    <rPh sb="48" eb="50">
      <t>シシャ</t>
    </rPh>
    <rPh sb="52" eb="53">
      <t>メイ</t>
    </rPh>
    <rPh sb="53" eb="56">
      <t>フショウシャ</t>
    </rPh>
    <rPh sb="58" eb="59">
      <t>メイ</t>
    </rPh>
    <rPh sb="60" eb="61">
      <t>ヤマ</t>
    </rPh>
    <rPh sb="61" eb="62">
      <t>ホウ</t>
    </rPh>
    <rPh sb="68" eb="69">
      <t>ショ</t>
    </rPh>
    <phoneticPr fontId="2"/>
  </si>
  <si>
    <t>亀山城（石坂門・太鼓櫓）</t>
    <rPh sb="0" eb="3">
      <t>カメヤマジョウ</t>
    </rPh>
    <rPh sb="4" eb="6">
      <t>イシザカ</t>
    </rPh>
    <rPh sb="6" eb="7">
      <t>モン</t>
    </rPh>
    <rPh sb="8" eb="10">
      <t>タイコ</t>
    </rPh>
    <rPh sb="10" eb="11">
      <t>ヤグラ</t>
    </rPh>
    <phoneticPr fontId="2"/>
  </si>
  <si>
    <t>嘉永七甲正月起毫　寅歳日記（天野家文書）</t>
    <rPh sb="14" eb="16">
      <t>アマノ</t>
    </rPh>
    <rPh sb="16" eb="17">
      <t>ケ</t>
    </rPh>
    <rPh sb="17" eb="19">
      <t>モンジョ</t>
    </rPh>
    <phoneticPr fontId="2"/>
  </si>
  <si>
    <t>亀山城絵図（中田家文書）</t>
    <rPh sb="0" eb="3">
      <t>カメヤマジョウ</t>
    </rPh>
    <rPh sb="3" eb="5">
      <t>エズ</t>
    </rPh>
    <rPh sb="6" eb="8">
      <t>ナカタ</t>
    </rPh>
    <rPh sb="8" eb="9">
      <t>ケ</t>
    </rPh>
    <rPh sb="9" eb="11">
      <t>モンジョ</t>
    </rPh>
    <phoneticPr fontId="2"/>
  </si>
  <si>
    <t>亀山のむかしばなし／こわいはなし／大地震の話／亀山の大地震</t>
    <rPh sb="0" eb="2">
      <t>カメヤマ</t>
    </rPh>
    <rPh sb="17" eb="20">
      <t>ダイジシン</t>
    </rPh>
    <rPh sb="21" eb="22">
      <t>ハナシ</t>
    </rPh>
    <rPh sb="23" eb="25">
      <t>カメヤマ</t>
    </rPh>
    <rPh sb="26" eb="29">
      <t>ダイジシン</t>
    </rPh>
    <phoneticPr fontId="2"/>
  </si>
  <si>
    <t>『鈴鹿関町史』上巻P.653
『亀山市史』通史　近世</t>
    <rPh sb="1" eb="3">
      <t>スズカ</t>
    </rPh>
    <rPh sb="3" eb="5">
      <t>セキチョウ</t>
    </rPh>
    <rPh sb="5" eb="6">
      <t>シ</t>
    </rPh>
    <rPh sb="7" eb="9">
      <t>ジョウカン</t>
    </rPh>
    <rPh sb="15" eb="26">
      <t>キ</t>
    </rPh>
    <phoneticPr fontId="2"/>
  </si>
  <si>
    <t>亀山城と宿場／亀山城のつくり／櫓</t>
    <phoneticPr fontId="2"/>
  </si>
  <si>
    <t>http://kameyamarekihaku.jp/kodomo/w_e_b/syukuba/tsukuri/yagura/index.html</t>
  </si>
  <si>
    <t>亀山城と宿場／亀山城のつくり／門</t>
    <rPh sb="15" eb="16">
      <t>モン</t>
    </rPh>
    <phoneticPr fontId="2"/>
  </si>
  <si>
    <t>http://kameyamarekihaku.jp/kodomo/w_e_b/syukuba/tsukuri/mon/index.html</t>
  </si>
  <si>
    <t>日本の歴史の中の亀山／近世の亀山／開国と不平等条約／安政の大地震</t>
    <rPh sb="0" eb="17">
      <t>ニホンノレキシノナカノカメヤマ／キンセイノカメヤマ・</t>
    </rPh>
    <rPh sb="17" eb="19">
      <t>カイコク</t>
    </rPh>
    <rPh sb="20" eb="23">
      <t>フビョウドウ</t>
    </rPh>
    <rPh sb="23" eb="25">
      <t>ジョウヤク</t>
    </rPh>
    <rPh sb="26" eb="28">
      <t>アンセイ</t>
    </rPh>
    <rPh sb="29" eb="32">
      <t>ダイジシン</t>
    </rPh>
    <phoneticPr fontId="2"/>
  </si>
  <si>
    <t>http://kameyamarekihaku.jp/kodomo/w_e_b/rekishi/kinsei/kaikoku/daizisin/index.html</t>
  </si>
  <si>
    <t>安政3</t>
  </si>
  <si>
    <t>飯沼慾斎が『草木図説』出版</t>
  </si>
  <si>
    <t>飯沼慾斎</t>
    <phoneticPr fontId="2"/>
  </si>
  <si>
    <t>画像史料：国立公文書館所蔵『草木図説』</t>
    <rPh sb="0" eb="4">
      <t>ガゾウシリョウ</t>
    </rPh>
    <rPh sb="5" eb="7">
      <t>コクリツ</t>
    </rPh>
    <rPh sb="7" eb="11">
      <t>コウブンショカン</t>
    </rPh>
    <rPh sb="11" eb="13">
      <t>ショゾウ</t>
    </rPh>
    <rPh sb="14" eb="16">
      <t>ソウモク</t>
    </rPh>
    <rPh sb="16" eb="18">
      <t>ズセツ</t>
    </rPh>
    <phoneticPr fontId="2"/>
  </si>
  <si>
    <t>『亀山市史』自然分野　植物　『飯沼慾斎』
『亀山地方郷土史』第三巻P.211
『亀山市史』通史　近世</t>
    <rPh sb="8" eb="10">
      <t>ブンヤ</t>
    </rPh>
    <rPh sb="11" eb="13">
      <t>ショクブツ</t>
    </rPh>
    <rPh sb="40" eb="43">
      <t>カメヤマシ</t>
    </rPh>
    <rPh sb="43" eb="44">
      <t>シ</t>
    </rPh>
    <rPh sb="45" eb="47">
      <t>ツウシ</t>
    </rPh>
    <rPh sb="48" eb="50">
      <t>キンセイ</t>
    </rPh>
    <phoneticPr fontId="2"/>
  </si>
  <si>
    <t>安政5</t>
  </si>
  <si>
    <t>5か国と通商条約を結ぶ（日米修好通商条約）</t>
    <phoneticPr fontId="2"/>
  </si>
  <si>
    <t>日米修好通商条約釈文</t>
    <rPh sb="8" eb="9">
      <t>シャク</t>
    </rPh>
    <rPh sb="9" eb="10">
      <t>ブン</t>
    </rPh>
    <phoneticPr fontId="2"/>
  </si>
  <si>
    <t>日本の歴史の中の亀山／近世の亀山／開国と不平等条約</t>
    <rPh sb="17" eb="19">
      <t>カイコク</t>
    </rPh>
    <rPh sb="20" eb="25">
      <t>フビョウドウジョウヤク</t>
    </rPh>
    <phoneticPr fontId="2"/>
  </si>
  <si>
    <t>http://kameyamarekihaku.jp/kodomo/w_e_b/rekishi/kinsei/kaikoku/index.html</t>
  </si>
  <si>
    <t>幕府の政治に不満が高まリ,幕府をたおす運動がおきる</t>
  </si>
  <si>
    <t>日本の歴史の中の亀山／近世の亀山／江戸幕府の滅亡／尊皇攘夷の高まり</t>
    <rPh sb="0" eb="17">
      <t>ニホンノレキシノナカノカメヤマ／キンセイノカメヤマ・</t>
    </rPh>
    <rPh sb="17" eb="19">
      <t>エド</t>
    </rPh>
    <rPh sb="19" eb="21">
      <t>バクフ</t>
    </rPh>
    <rPh sb="22" eb="24">
      <t>メツボウ</t>
    </rPh>
    <rPh sb="25" eb="27">
      <t>ソンノウ</t>
    </rPh>
    <rPh sb="27" eb="29">
      <t>ジョウイ</t>
    </rPh>
    <rPh sb="30" eb="31">
      <t>タカ</t>
    </rPh>
    <phoneticPr fontId="2"/>
  </si>
  <si>
    <t>http://kameyamarekihaku.jp/kodomo/w_e_b/rekishi/kinsei/metsubou/page001.html</t>
  </si>
  <si>
    <t>安政6</t>
  </si>
  <si>
    <t>安政の大獄がおこる</t>
  </si>
  <si>
    <t>日本の歴史の中の亀山／近世の亀山／江戸幕府の滅亡／尊皇攘夷の高まり</t>
    <rPh sb="25" eb="27">
      <t>ソンノウ</t>
    </rPh>
    <phoneticPr fontId="2"/>
  </si>
  <si>
    <t>万延元</t>
    <rPh sb="0" eb="2">
      <t>マンエン</t>
    </rPh>
    <rPh sb="2" eb="3">
      <t>ガン</t>
    </rPh>
    <phoneticPr fontId="2"/>
  </si>
  <si>
    <t>桜田門外の変がおこる</t>
  </si>
  <si>
    <t>洪水、勧進橋流出</t>
    <rPh sb="0" eb="2">
      <t>コウズイ</t>
    </rPh>
    <rPh sb="3" eb="5">
      <t>カンジン</t>
    </rPh>
    <rPh sb="5" eb="6">
      <t>バシ</t>
    </rPh>
    <rPh sb="6" eb="8">
      <t>リュウシュツ</t>
    </rPh>
    <phoneticPr fontId="2"/>
  </si>
  <si>
    <t>関町木崎</t>
    <rPh sb="2" eb="4">
      <t>キサキ</t>
    </rPh>
    <phoneticPr fontId="2"/>
  </si>
  <si>
    <t>勧進橋</t>
    <phoneticPr fontId="2"/>
  </si>
  <si>
    <t>『鈴鹿関町史』下巻年表P.903</t>
    <rPh sb="1" eb="3">
      <t>スズカ</t>
    </rPh>
    <rPh sb="3" eb="5">
      <t>セキチョウ</t>
    </rPh>
    <rPh sb="5" eb="6">
      <t>シ</t>
    </rPh>
    <rPh sb="7" eb="9">
      <t>ゲカン</t>
    </rPh>
    <rPh sb="9" eb="11">
      <t>ネンピョウ</t>
    </rPh>
    <phoneticPr fontId="2"/>
  </si>
  <si>
    <t>文久元</t>
    <rPh sb="0" eb="2">
      <t>ブンキュウ</t>
    </rPh>
    <rPh sb="2" eb="3">
      <t>モト</t>
    </rPh>
    <phoneticPr fontId="2"/>
  </si>
  <si>
    <t>イギリス総領事オールコック、大坂から江戸へ向かう途中、加太から亀山に至り、亀山城について記す</t>
    <rPh sb="4" eb="7">
      <t>ソウリョウジ</t>
    </rPh>
    <rPh sb="14" eb="16">
      <t>オオサカ</t>
    </rPh>
    <rPh sb="18" eb="20">
      <t>エド</t>
    </rPh>
    <rPh sb="21" eb="22">
      <t>ム</t>
    </rPh>
    <rPh sb="24" eb="26">
      <t>トチュウ</t>
    </rPh>
    <rPh sb="27" eb="29">
      <t>カブト</t>
    </rPh>
    <rPh sb="31" eb="33">
      <t>カメヤマ</t>
    </rPh>
    <rPh sb="34" eb="35">
      <t>イタ</t>
    </rPh>
    <rPh sb="37" eb="39">
      <t>カメヤマ</t>
    </rPh>
    <rPh sb="39" eb="40">
      <t>シロ</t>
    </rPh>
    <rPh sb="44" eb="45">
      <t>シル</t>
    </rPh>
    <phoneticPr fontId="2"/>
  </si>
  <si>
    <t>亀山城</t>
    <phoneticPr fontId="2"/>
  </si>
  <si>
    <t>オールコック</t>
    <phoneticPr fontId="2"/>
  </si>
  <si>
    <t>『大君の都』</t>
    <rPh sb="1" eb="2">
      <t>タイ</t>
    </rPh>
    <rPh sb="2" eb="3">
      <t>クン</t>
    </rPh>
    <rPh sb="4" eb="5">
      <t>ミヤコ</t>
    </rPh>
    <phoneticPr fontId="2"/>
  </si>
  <si>
    <t>文久2</t>
  </si>
  <si>
    <t>石川保之助（総脩）、亀山城主になる</t>
  </si>
  <si>
    <t>石川保之助（総脩）</t>
  </si>
  <si>
    <t>文久3</t>
  </si>
  <si>
    <t>徳川家茂が上洛の途中、亀山宿本陣へ止泊する</t>
    <rPh sb="13" eb="14">
      <t>ヤド</t>
    </rPh>
    <rPh sb="14" eb="16">
      <t>ホンジン</t>
    </rPh>
    <rPh sb="18" eb="19">
      <t>ハク</t>
    </rPh>
    <phoneticPr fontId="2"/>
  </si>
  <si>
    <t>東町</t>
    <rPh sb="0" eb="1">
      <t>ヒガシ</t>
    </rPh>
    <rPh sb="1" eb="2">
      <t>マチ</t>
    </rPh>
    <phoneticPr fontId="2"/>
  </si>
  <si>
    <t>亀山宿</t>
    <rPh sb="2" eb="3">
      <t>シュク</t>
    </rPh>
    <phoneticPr fontId="2"/>
  </si>
  <si>
    <t>徳川家茂</t>
  </si>
  <si>
    <t>『宿内軒別書上帳』（館蔵白木家文書）</t>
    <rPh sb="1" eb="2">
      <t>シュク</t>
    </rPh>
    <rPh sb="2" eb="3">
      <t>ナイ</t>
    </rPh>
    <rPh sb="3" eb="4">
      <t>ノキ</t>
    </rPh>
    <rPh sb="4" eb="5">
      <t>ベツ</t>
    </rPh>
    <rPh sb="5" eb="7">
      <t>カキア</t>
    </rPh>
    <rPh sb="7" eb="8">
      <t>チョウ</t>
    </rPh>
    <rPh sb="10" eb="12">
      <t>カンゾウ</t>
    </rPh>
    <rPh sb="12" eb="15">
      <t>シラキケ</t>
    </rPh>
    <rPh sb="15" eb="17">
      <t>モンジョ</t>
    </rPh>
    <phoneticPr fontId="2"/>
  </si>
  <si>
    <t>『徳川実紀』
『亀山市史』通史　近世</t>
    <rPh sb="1" eb="3">
      <t>トクガワ</t>
    </rPh>
    <rPh sb="3" eb="5">
      <t>ミキ</t>
    </rPh>
    <rPh sb="8" eb="10">
      <t>カメヤマ</t>
    </rPh>
    <rPh sb="10" eb="11">
      <t>シ</t>
    </rPh>
    <rPh sb="11" eb="12">
      <t>シ</t>
    </rPh>
    <rPh sb="13" eb="15">
      <t>ツウシ</t>
    </rPh>
    <rPh sb="16" eb="18">
      <t>キンセイ</t>
    </rPh>
    <phoneticPr fontId="2"/>
  </si>
  <si>
    <t>亀山城と宿場／４つの宿場／城下町の宿場 亀山宿</t>
    <rPh sb="0" eb="3">
      <t>カメヤマジョウ</t>
    </rPh>
    <rPh sb="4" eb="7">
      <t>シュクバ・</t>
    </rPh>
    <rPh sb="10" eb="12">
      <t>シュクバ</t>
    </rPh>
    <rPh sb="13" eb="16">
      <t>ジョウカマチ</t>
    </rPh>
    <rPh sb="17" eb="19">
      <t>シュクバ</t>
    </rPh>
    <rPh sb="20" eb="22">
      <t>カメヤマ</t>
    </rPh>
    <rPh sb="22" eb="23">
      <t>ジュク</t>
    </rPh>
    <phoneticPr fontId="2"/>
  </si>
  <si>
    <t>地震で倒壊した亀山城石坂門が建て直される</t>
    <rPh sb="0" eb="2">
      <t>ジシン</t>
    </rPh>
    <rPh sb="3" eb="5">
      <t>トウカイ</t>
    </rPh>
    <phoneticPr fontId="2"/>
  </si>
  <si>
    <t>亀山城石坂門</t>
    <phoneticPr fontId="2"/>
  </si>
  <si>
    <t>移設復元石坂門石垣（博物館敷地内）</t>
    <rPh sb="0" eb="2">
      <t>イセツ</t>
    </rPh>
    <rPh sb="2" eb="4">
      <t>フクゲン</t>
    </rPh>
    <rPh sb="4" eb="6">
      <t>イシザカ</t>
    </rPh>
    <rPh sb="10" eb="13">
      <t>ハクブツカン</t>
    </rPh>
    <rPh sb="13" eb="15">
      <t>シキチ</t>
    </rPh>
    <rPh sb="15" eb="16">
      <t>ナイ</t>
    </rPh>
    <phoneticPr fontId="2"/>
  </si>
  <si>
    <t>亀山城と宿場／亀山城のつくり／石垣</t>
    <rPh sb="15" eb="17">
      <t>イシガキ</t>
    </rPh>
    <phoneticPr fontId="2"/>
  </si>
  <si>
    <t>元治元</t>
  </si>
  <si>
    <t>幕府が長州藩を攻める（１次）</t>
    <rPh sb="12" eb="13">
      <t>ツギ</t>
    </rPh>
    <phoneticPr fontId="2"/>
  </si>
  <si>
    <t>日本の歴史の中の亀山／近世の亀山／江戸幕府の滅亡／尊皇攘夷の高まり</t>
    <rPh sb="25" eb="27">
      <t>ソンノウ</t>
    </rPh>
    <rPh sb="27" eb="29">
      <t>ジョウイ</t>
    </rPh>
    <phoneticPr fontId="2"/>
  </si>
  <si>
    <t>慶応元</t>
  </si>
  <si>
    <t>●</t>
    <phoneticPr fontId="2"/>
  </si>
  <si>
    <t>石川成之、亀山藩主になる</t>
  </si>
  <si>
    <t>石川成之</t>
  </si>
  <si>
    <t>亀山城と宿場／江戸時代の亀山城主／石川総慶・総堯・総純・総博・総師・総佐・総安・総惠・総禄・総脩・成之</t>
    <phoneticPr fontId="2"/>
  </si>
  <si>
    <t>山崎雪柳軒が亀山に心形刀流の道場を開く</t>
  </si>
  <si>
    <t>亀山演武場</t>
    <rPh sb="0" eb="2">
      <t>カメヤマ</t>
    </rPh>
    <rPh sb="2" eb="4">
      <t>エンブ</t>
    </rPh>
    <rPh sb="4" eb="5">
      <t>バ</t>
    </rPh>
    <phoneticPr fontId="2"/>
  </si>
  <si>
    <t>山崎雪柳軒</t>
  </si>
  <si>
    <t>心形刀流の巻物</t>
  </si>
  <si>
    <t>亀山のいいとこさがし／人々がつたえてきたこと／技や仕事／心形刀流武芸形</t>
    <phoneticPr fontId="2"/>
  </si>
  <si>
    <t>『亀山市史』歴史分野　近世ページ　年表
『亀山地方郷土史』第三巻
平成25年度亀山市地域歴史遺産（亀山藩御流儀心形刀流武芸形）保存継承活用事業パンフレット　</t>
    <rPh sb="1" eb="4">
      <t>カメヤマシ</t>
    </rPh>
    <rPh sb="4" eb="5">
      <t>シ</t>
    </rPh>
    <rPh sb="6" eb="8">
      <t>レキシ</t>
    </rPh>
    <rPh sb="8" eb="10">
      <t>ブンヤ</t>
    </rPh>
    <rPh sb="11" eb="13">
      <t>キンセイ</t>
    </rPh>
    <rPh sb="17" eb="19">
      <t>ネンピョウ</t>
    </rPh>
    <rPh sb="33" eb="35">
      <t>ヘイセイ</t>
    </rPh>
    <rPh sb="37" eb="39">
      <t>ネンド</t>
    </rPh>
    <rPh sb="39" eb="42">
      <t>カメヤマシ</t>
    </rPh>
    <rPh sb="42" eb="44">
      <t>チイキ</t>
    </rPh>
    <rPh sb="44" eb="46">
      <t>レキシ</t>
    </rPh>
    <rPh sb="46" eb="48">
      <t>イサン</t>
    </rPh>
    <rPh sb="49" eb="51">
      <t>カメヤマ</t>
    </rPh>
    <rPh sb="51" eb="52">
      <t>ハン</t>
    </rPh>
    <rPh sb="52" eb="53">
      <t>オン</t>
    </rPh>
    <rPh sb="53" eb="55">
      <t>リュウギ</t>
    </rPh>
    <rPh sb="55" eb="56">
      <t>シン</t>
    </rPh>
    <rPh sb="56" eb="57">
      <t>ギョウ</t>
    </rPh>
    <rPh sb="57" eb="58">
      <t>トウ</t>
    </rPh>
    <rPh sb="58" eb="59">
      <t>リュウ</t>
    </rPh>
    <rPh sb="59" eb="61">
      <t>ブゲイ</t>
    </rPh>
    <rPh sb="61" eb="62">
      <t>ケイ</t>
    </rPh>
    <rPh sb="63" eb="65">
      <t>ホゾン</t>
    </rPh>
    <rPh sb="65" eb="67">
      <t>ケイショウ</t>
    </rPh>
    <rPh sb="67" eb="69">
      <t>カツヨウ</t>
    </rPh>
    <rPh sb="69" eb="71">
      <t>ジギョウ</t>
    </rPh>
    <phoneticPr fontId="2"/>
  </si>
  <si>
    <t>武道場</t>
    <rPh sb="0" eb="3">
      <t>ブドウジョウ</t>
    </rPh>
    <phoneticPr fontId="2"/>
  </si>
  <si>
    <t>慶応2</t>
  </si>
  <si>
    <t>薩摩藩と長州藩が、幕府をたおすために同盟を結ぶ　</t>
  </si>
  <si>
    <t>幕府が長州藩を攻める（２次）</t>
    <rPh sb="12" eb="13">
      <t>ツギ</t>
    </rPh>
    <phoneticPr fontId="2"/>
  </si>
  <si>
    <t>慶応3</t>
  </si>
  <si>
    <t>イギリス公使館通訳官のアーネスト・サトウ、鈴鹿峠を越えて亀山を通過</t>
    <rPh sb="4" eb="7">
      <t>コウシカン</t>
    </rPh>
    <rPh sb="7" eb="9">
      <t>ツウヤク</t>
    </rPh>
    <rPh sb="9" eb="10">
      <t>カン</t>
    </rPh>
    <rPh sb="21" eb="23">
      <t>スズカ</t>
    </rPh>
    <rPh sb="23" eb="24">
      <t>トウゲ</t>
    </rPh>
    <rPh sb="25" eb="26">
      <t>コ</t>
    </rPh>
    <rPh sb="28" eb="30">
      <t>カメヤマ</t>
    </rPh>
    <rPh sb="31" eb="33">
      <t>ツウカ</t>
    </rPh>
    <phoneticPr fontId="2"/>
  </si>
  <si>
    <t>アーネスト・サトウ</t>
    <phoneticPr fontId="2"/>
  </si>
  <si>
    <t>『外交官の見た明治維新』</t>
    <phoneticPr fontId="2"/>
  </si>
  <si>
    <t>徳川慶喜が政権を朝廷に返す（大政奉還）王政復古の大号令</t>
    <rPh sb="19" eb="21">
      <t>オウセイ</t>
    </rPh>
    <rPh sb="21" eb="23">
      <t>フッコ</t>
    </rPh>
    <rPh sb="24" eb="27">
      <t>ダイゴウレイ</t>
    </rPh>
    <phoneticPr fontId="2"/>
  </si>
  <si>
    <t>慶応助郷一揆おこる</t>
  </si>
  <si>
    <t>慶応三年元旦起毫　丁卯日記（天野家文書）</t>
    <rPh sb="17" eb="19">
      <t>モンジョ</t>
    </rPh>
    <phoneticPr fontId="2"/>
  </si>
  <si>
    <t>日本の歴史の中の亀山／近世の亀山／江戸幕府の滅亡／助郷一揆</t>
    <rPh sb="0" eb="17">
      <t>ニホンノレキシノナカノカメヤマ／キンセイノカメヤマ・</t>
    </rPh>
    <rPh sb="17" eb="21">
      <t>エドバクフ</t>
    </rPh>
    <rPh sb="22" eb="24">
      <t>メツボウ</t>
    </rPh>
    <rPh sb="25" eb="27">
      <t>スケゴウ</t>
    </rPh>
    <rPh sb="27" eb="29">
      <t>イッキ</t>
    </rPh>
    <phoneticPr fontId="2"/>
  </si>
  <si>
    <t>http://kameyamarekihaku.jp/kodomo/w_e_b/rekishi/kinsei/metsubou/page004.html</t>
  </si>
  <si>
    <t>『亀山地方郷土史』第三巻
『亀山市史』通史　近世</t>
    <rPh sb="14" eb="17">
      <t>カメヤマシ</t>
    </rPh>
    <rPh sb="17" eb="18">
      <t>シ</t>
    </rPh>
    <rPh sb="19" eb="21">
      <t>ツウシ</t>
    </rPh>
    <rPh sb="22" eb="24">
      <t>キンセイ</t>
    </rPh>
    <phoneticPr fontId="2"/>
  </si>
  <si>
    <t>東台から出火、北山に類焼</t>
    <rPh sb="0" eb="2">
      <t>ヒガシダイ</t>
    </rPh>
    <rPh sb="4" eb="6">
      <t>シュッカ</t>
    </rPh>
    <rPh sb="7" eb="9">
      <t>キタヤマ</t>
    </rPh>
    <rPh sb="10" eb="12">
      <t>ルイショウ</t>
    </rPh>
    <phoneticPr fontId="2"/>
  </si>
  <si>
    <t>東台町・北山町</t>
    <rPh sb="0" eb="1">
      <t>ヒガシ</t>
    </rPh>
    <rPh sb="1" eb="2">
      <t>ダイ</t>
    </rPh>
    <rPh sb="2" eb="3">
      <t>チョウ</t>
    </rPh>
    <rPh sb="4" eb="6">
      <t>キタヤマ</t>
    </rPh>
    <rPh sb="6" eb="7">
      <t>チョウ</t>
    </rPh>
    <phoneticPr fontId="2"/>
  </si>
  <si>
    <t>『亀山地方郷土史』第三巻年表</t>
    <rPh sb="12" eb="14">
      <t>ネンピョウ</t>
    </rPh>
    <phoneticPr fontId="2"/>
  </si>
  <si>
    <t>明治時代</t>
  </si>
  <si>
    <t>明治維新が始まる</t>
  </si>
  <si>
    <t>日本の歴史の中の亀山／近代の亀山／明治維新と亀山</t>
    <rPh sb="0" eb="2">
      <t>ニホン</t>
    </rPh>
    <rPh sb="11" eb="13">
      <t>キンダイ</t>
    </rPh>
    <rPh sb="14" eb="16">
      <t>カメヤマ</t>
    </rPh>
    <rPh sb="17" eb="21">
      <t>メイジイシン</t>
    </rPh>
    <rPh sb="22" eb="24">
      <t>カメヤマ</t>
    </rPh>
    <phoneticPr fontId="2"/>
  </si>
  <si>
    <t>http://kameyamarekihaku.jp/kodomo/w_e_b/rekishi/kindai/meijiishin/index.html</t>
  </si>
  <si>
    <t>慶応4年／明治元</t>
    <phoneticPr fontId="2"/>
  </si>
  <si>
    <t>戊辰戦争がおこる（～69）</t>
  </si>
  <si>
    <t>勤皇派の亀山藩士黒田孝富暗殺される</t>
    <rPh sb="0" eb="1">
      <t>キン</t>
    </rPh>
    <rPh sb="1" eb="2">
      <t>コウ</t>
    </rPh>
    <rPh sb="2" eb="3">
      <t>ハ</t>
    </rPh>
    <rPh sb="4" eb="6">
      <t>カメヤマ</t>
    </rPh>
    <rPh sb="6" eb="8">
      <t>ハンシ</t>
    </rPh>
    <rPh sb="8" eb="10">
      <t>クロダ</t>
    </rPh>
    <rPh sb="10" eb="11">
      <t>タカ</t>
    </rPh>
    <rPh sb="11" eb="12">
      <t>トミ</t>
    </rPh>
    <rPh sb="12" eb="14">
      <t>アンサツ</t>
    </rPh>
    <phoneticPr fontId="2"/>
  </si>
  <si>
    <t>江ヶ室町</t>
    <rPh sb="0" eb="3">
      <t>エガムロ</t>
    </rPh>
    <rPh sb="3" eb="4">
      <t>チョウ</t>
    </rPh>
    <phoneticPr fontId="2"/>
  </si>
  <si>
    <t>江ヶ室</t>
    <phoneticPr fontId="2"/>
  </si>
  <si>
    <t>黒田孝富</t>
  </si>
  <si>
    <t>黒田孝富墓</t>
    <rPh sb="4" eb="5">
      <t>ハカ</t>
    </rPh>
    <phoneticPr fontId="2"/>
  </si>
  <si>
    <t>『亀山地方郷土史』
『幕末の伊勢亀山藩』
『亀山市史』考古分野</t>
    <rPh sb="11" eb="13">
      <t>バクマツ</t>
    </rPh>
    <rPh sb="14" eb="16">
      <t>イセ</t>
    </rPh>
    <rPh sb="16" eb="18">
      <t>カメヤマ</t>
    </rPh>
    <rPh sb="18" eb="19">
      <t>ハン</t>
    </rPh>
    <rPh sb="21" eb="31">
      <t>カ</t>
    </rPh>
    <phoneticPr fontId="2"/>
  </si>
  <si>
    <t>明治天皇が東幸の際、鈴鹿峠にて小休し、坂下駅松屋本陣で昼食、筆捨山にて天覧し、関駅川北本陣にて宿泊する
翌朝関駅東追分より伊勢神宮を遙拝、亀山駅で小憩する</t>
    <rPh sb="5" eb="7">
      <t>トウコウ</t>
    </rPh>
    <rPh sb="8" eb="9">
      <t>サイ</t>
    </rPh>
    <rPh sb="10" eb="13">
      <t>スズカトウゲ</t>
    </rPh>
    <rPh sb="15" eb="16">
      <t>ショウ</t>
    </rPh>
    <rPh sb="16" eb="17">
      <t>キュウ</t>
    </rPh>
    <rPh sb="19" eb="21">
      <t>サカシタ</t>
    </rPh>
    <rPh sb="21" eb="22">
      <t>エキ</t>
    </rPh>
    <rPh sb="22" eb="24">
      <t>マツヤ</t>
    </rPh>
    <rPh sb="24" eb="26">
      <t>ホンジン</t>
    </rPh>
    <rPh sb="27" eb="29">
      <t>チュウショク</t>
    </rPh>
    <rPh sb="30" eb="31">
      <t>フデ</t>
    </rPh>
    <rPh sb="31" eb="32">
      <t>ス</t>
    </rPh>
    <rPh sb="32" eb="33">
      <t>ヤマ</t>
    </rPh>
    <rPh sb="35" eb="37">
      <t>テンラン</t>
    </rPh>
    <rPh sb="40" eb="41">
      <t>エキ</t>
    </rPh>
    <rPh sb="41" eb="43">
      <t>カワキタ</t>
    </rPh>
    <rPh sb="43" eb="45">
      <t>ホンジン</t>
    </rPh>
    <rPh sb="52" eb="54">
      <t>ヨクアサ</t>
    </rPh>
    <rPh sb="54" eb="55">
      <t>セキ</t>
    </rPh>
    <rPh sb="55" eb="56">
      <t>エキ</t>
    </rPh>
    <rPh sb="56" eb="57">
      <t>ヒガシ</t>
    </rPh>
    <rPh sb="57" eb="59">
      <t>オイワ</t>
    </rPh>
    <rPh sb="61" eb="63">
      <t>イセ</t>
    </rPh>
    <rPh sb="63" eb="65">
      <t>ジングウ</t>
    </rPh>
    <rPh sb="66" eb="68">
      <t>ヨウハイ</t>
    </rPh>
    <rPh sb="69" eb="71">
      <t>カメヤマ</t>
    </rPh>
    <rPh sb="71" eb="72">
      <t>エキ</t>
    </rPh>
    <rPh sb="73" eb="75">
      <t>ショウケイ</t>
    </rPh>
    <phoneticPr fontId="2"/>
  </si>
  <si>
    <t>関
亀山</t>
    <rPh sb="2" eb="4">
      <t>カメヤマ</t>
    </rPh>
    <phoneticPr fontId="2"/>
  </si>
  <si>
    <t>関町坂下
関
御幸町</t>
    <rPh sb="0" eb="2">
      <t>セキチョウ</t>
    </rPh>
    <rPh sb="2" eb="4">
      <t>サカシタ</t>
    </rPh>
    <rPh sb="5" eb="6">
      <t>セキ</t>
    </rPh>
    <rPh sb="7" eb="10">
      <t>ミユキチョウ</t>
    </rPh>
    <phoneticPr fontId="2"/>
  </si>
  <si>
    <t>昼食「松屋本陣」（坂下）
宿泊「川北本陣」（関）
亀山駅</t>
    <rPh sb="25" eb="27">
      <t>カメヤマ</t>
    </rPh>
    <rPh sb="27" eb="28">
      <t>エキ</t>
    </rPh>
    <phoneticPr fontId="2"/>
  </si>
  <si>
    <t>明治天皇
内侍所
広幡内大臣
輔相岩倉具視
議定中山一位
木戸孝允</t>
    <rPh sb="0" eb="4">
      <t>メイジテンノウ</t>
    </rPh>
    <rPh sb="5" eb="6">
      <t>ウチ</t>
    </rPh>
    <rPh sb="6" eb="7">
      <t>サムライ</t>
    </rPh>
    <rPh sb="7" eb="8">
      <t>トコロ</t>
    </rPh>
    <rPh sb="9" eb="10">
      <t>ヒロ</t>
    </rPh>
    <rPh sb="10" eb="11">
      <t>ハタ</t>
    </rPh>
    <rPh sb="11" eb="12">
      <t>ナイ</t>
    </rPh>
    <rPh sb="12" eb="14">
      <t>ダイジン</t>
    </rPh>
    <rPh sb="15" eb="16">
      <t>スケ</t>
    </rPh>
    <rPh sb="16" eb="17">
      <t>ソウ</t>
    </rPh>
    <rPh sb="17" eb="19">
      <t>イワクラ</t>
    </rPh>
    <rPh sb="19" eb="21">
      <t>トモミ</t>
    </rPh>
    <rPh sb="22" eb="24">
      <t>ギテイ</t>
    </rPh>
    <rPh sb="24" eb="26">
      <t>ナカヤマ</t>
    </rPh>
    <rPh sb="26" eb="28">
      <t>イチイ</t>
    </rPh>
    <rPh sb="29" eb="31">
      <t>キド</t>
    </rPh>
    <rPh sb="31" eb="33">
      <t>タカヨシ</t>
    </rPh>
    <phoneticPr fontId="2"/>
  </si>
  <si>
    <t>むかしの道と交通／亀山の近世の道／本陣・脇本陣</t>
    <rPh sb="17" eb="19">
      <t>ホンジン</t>
    </rPh>
    <rPh sb="20" eb="21">
      <t>ワキ</t>
    </rPh>
    <rPh sb="21" eb="23">
      <t>ホンジン</t>
    </rPh>
    <phoneticPr fontId="2"/>
  </si>
  <si>
    <t>http://kameyamarekihaku.jp/kodomo/w_e_b/michi/kinsei/page002.html</t>
  </si>
  <si>
    <t>『三重県史』資料編近代１
『太政類典』（国立公文書館蔵）
『亀山市史』歴史分野　近代・現代ページ</t>
    <rPh sb="1" eb="3">
      <t>ミエ</t>
    </rPh>
    <rPh sb="3" eb="4">
      <t>ケン</t>
    </rPh>
    <rPh sb="4" eb="5">
      <t>シ</t>
    </rPh>
    <rPh sb="6" eb="9">
      <t>シリョウヘン</t>
    </rPh>
    <rPh sb="9" eb="11">
      <t>キンダイ</t>
    </rPh>
    <rPh sb="14" eb="16">
      <t>ダジョウ</t>
    </rPh>
    <rPh sb="16" eb="17">
      <t>タグイ</t>
    </rPh>
    <rPh sb="17" eb="18">
      <t>テン</t>
    </rPh>
    <rPh sb="20" eb="22">
      <t>コクリツ</t>
    </rPh>
    <rPh sb="22" eb="26">
      <t>コウブンショカン</t>
    </rPh>
    <rPh sb="26" eb="27">
      <t>クラ</t>
    </rPh>
    <rPh sb="29" eb="48">
      <t>レキ</t>
    </rPh>
    <phoneticPr fontId="2"/>
  </si>
  <si>
    <t>日本の歴史の中の亀山／近世の亀山／新政府の成立／明治元年の行幸と鈴鹿峠の警衛</t>
    <rPh sb="0" eb="17">
      <t>ニホンノレキシノナカノカメヤマ／キンセイノカメヤマ・</t>
    </rPh>
    <rPh sb="17" eb="20">
      <t>シンセイフ</t>
    </rPh>
    <rPh sb="21" eb="23">
      <t>セイリツ</t>
    </rPh>
    <rPh sb="24" eb="26">
      <t>メイジ</t>
    </rPh>
    <rPh sb="26" eb="28">
      <t>ガンネン</t>
    </rPh>
    <rPh sb="29" eb="31">
      <t>ギョウコウ</t>
    </rPh>
    <rPh sb="34" eb="35">
      <t>トウゲ</t>
    </rPh>
    <rPh sb="36" eb="38">
      <t>ケイエイ</t>
    </rPh>
    <phoneticPr fontId="2"/>
  </si>
  <si>
    <t>http://kameyamarekihaku.jp/kodomo/w_e_b/rekishi/kinsei/sinseihu/page002.html</t>
  </si>
  <si>
    <t>亀山のいいとこさがし／景色のよいところや歴史を知る手掛かりとなるもの／山／名勝</t>
    <rPh sb="35" eb="36">
      <t>ヤマ</t>
    </rPh>
    <rPh sb="37" eb="39">
      <t>メイショウ</t>
    </rPh>
    <phoneticPr fontId="2"/>
  </si>
  <si>
    <t>http://kameyamarekihaku.jp/kodomo/w_e_b/iitoko/tegakari/yama/page001.html</t>
  </si>
  <si>
    <t>亀山のいいとこさがし／景色のよいところや歴史を知る手掛かりとなるもの／関宿のまちなみ／中町のまちなみ／川北本陣跡</t>
    <rPh sb="43" eb="45">
      <t>ナカマチ</t>
    </rPh>
    <rPh sb="51" eb="53">
      <t>カワキタ</t>
    </rPh>
    <rPh sb="53" eb="55">
      <t>ホンジン</t>
    </rPh>
    <rPh sb="55" eb="56">
      <t>アト</t>
    </rPh>
    <phoneticPr fontId="2"/>
  </si>
  <si>
    <t>http://kameyamarekihaku.jp/kodomo/w_e_b/iitoko/tegakari/machinami/nakamachi/page001.html</t>
  </si>
  <si>
    <t>亀山のいいとこさがし／景色のよいところや歴史を知る手掛かりとなるもの／関宿のまちなみ／木崎のまちなみ／関神社</t>
    <rPh sb="43" eb="45">
      <t>キザキ</t>
    </rPh>
    <rPh sb="51" eb="54">
      <t>セキジンジャ</t>
    </rPh>
    <phoneticPr fontId="2"/>
  </si>
  <si>
    <t>http://kameyamarekihaku.jp/kodomo/w_e_b/iitoko/tegakari/machinami/kozaki/page002.html</t>
  </si>
  <si>
    <t>五か条のご誓文が出される</t>
  </si>
  <si>
    <t>日本の歴史の中の亀山／近世の亀山／新政府の成立</t>
    <rPh sb="0" eb="17">
      <t>ニホンノレキシノナカノカメヤマ／キンセイノカメヤマ・</t>
    </rPh>
    <rPh sb="17" eb="20">
      <t>シンセイフ</t>
    </rPh>
    <rPh sb="21" eb="23">
      <t>セイリツ</t>
    </rPh>
    <phoneticPr fontId="2"/>
  </si>
  <si>
    <t>http://kameyamarekihaku.jp/kodomo/w_e_b/rekishi/kinsei/sinseihu/index.html</t>
  </si>
  <si>
    <t>幕府領だった坂下村が大津県（いまの滋賀県）に入る</t>
  </si>
  <si>
    <t>関町坂下</t>
    <rPh sb="2" eb="4">
      <t>サカシタ</t>
    </rPh>
    <phoneticPr fontId="2"/>
  </si>
  <si>
    <t>明治2</t>
    <phoneticPr fontId="2"/>
  </si>
  <si>
    <t>明治天皇が東幸の際、関に宿泊する</t>
    <rPh sb="5" eb="7">
      <t>トウコウ</t>
    </rPh>
    <rPh sb="8" eb="9">
      <t>サイ</t>
    </rPh>
    <phoneticPr fontId="2"/>
  </si>
  <si>
    <t>宿泊「川北本陣」</t>
    <phoneticPr fontId="2"/>
  </si>
  <si>
    <t>明治天皇</t>
    <rPh sb="0" eb="4">
      <t>メイジテンノウ</t>
    </rPh>
    <phoneticPr fontId="2"/>
  </si>
  <si>
    <t>亀山のいいとこさがし／景色のよいところや歴史を知る手掛かりとなるもの／関宿のまちなみ／中町のまちなみ／川北本陣跡</t>
    <phoneticPr fontId="2"/>
  </si>
  <si>
    <t>『三重県史』資料編近代１
『行幸日記』（県庁蔵）</t>
    <rPh sb="1" eb="3">
      <t>ミエ</t>
    </rPh>
    <rPh sb="3" eb="4">
      <t>ケン</t>
    </rPh>
    <rPh sb="4" eb="5">
      <t>シ</t>
    </rPh>
    <rPh sb="6" eb="9">
      <t>シリョウヘン</t>
    </rPh>
    <rPh sb="9" eb="11">
      <t>キンダイ</t>
    </rPh>
    <rPh sb="14" eb="15">
      <t>コウ</t>
    </rPh>
    <rPh sb="15" eb="16">
      <t>コウ</t>
    </rPh>
    <rPh sb="16" eb="18">
      <t>ニッキ</t>
    </rPh>
    <rPh sb="20" eb="22">
      <t>ケンチョウ</t>
    </rPh>
    <rPh sb="22" eb="23">
      <t>クラ</t>
    </rPh>
    <phoneticPr fontId="2"/>
  </si>
  <si>
    <t>首都を東京に移す　版籍奉還がおこなわれる</t>
  </si>
  <si>
    <t>２月明治政府が、亀山藩・津藩・久居藩を設置し、藩知事を任命する
坂下村は大津県から度会県になる</t>
    <rPh sb="1" eb="2">
      <t>ガツ</t>
    </rPh>
    <phoneticPr fontId="2"/>
  </si>
  <si>
    <t>全</t>
    <rPh sb="0" eb="1">
      <t>ゼン</t>
    </rPh>
    <phoneticPr fontId="2"/>
  </si>
  <si>
    <t>津藩藩制改革による動揺につき報告（市史近世・近代・現代史料データベース　西丸町個人Ⅰ所蔵1－16－355)</t>
    <rPh sb="17" eb="18">
      <t>シ</t>
    </rPh>
    <rPh sb="18" eb="19">
      <t>シ</t>
    </rPh>
    <rPh sb="19" eb="21">
      <t>キンセイ</t>
    </rPh>
    <rPh sb="22" eb="24">
      <t>キンダイ</t>
    </rPh>
    <rPh sb="25" eb="29">
      <t>ゲンダイシリョウ</t>
    </rPh>
    <phoneticPr fontId="2"/>
  </si>
  <si>
    <t>亀山城と宿場／亀山城のおわりから文化財の亀山城へ</t>
    <rPh sb="0" eb="3">
      <t>カメヤマジョウ</t>
    </rPh>
    <rPh sb="4" eb="7">
      <t>シュクバ・</t>
    </rPh>
    <rPh sb="7" eb="10">
      <t>カメヤマジョウ</t>
    </rPh>
    <rPh sb="16" eb="19">
      <t>ブンカザイ</t>
    </rPh>
    <rPh sb="20" eb="23">
      <t>カメヤマジョウ</t>
    </rPh>
    <phoneticPr fontId="2"/>
  </si>
  <si>
    <t>http://kameyamarekihaku.jp/kodomo/w_e_b/syukuba/bunkazai/index.html</t>
  </si>
  <si>
    <t>『亀山市史』歴史分野　</t>
    <rPh sb="1" eb="4">
      <t>カメヤマシ</t>
    </rPh>
    <rPh sb="4" eb="5">
      <t>シ</t>
    </rPh>
    <rPh sb="6" eb="8">
      <t>レキシ</t>
    </rPh>
    <rPh sb="8" eb="10">
      <t>ブンヤ</t>
    </rPh>
    <phoneticPr fontId="2"/>
  </si>
  <si>
    <t>元亀山県管轄地受取命令および旧庁事務取扱につき（市史近世・近代・現代史料データベース　西丸町個人Ⅰ所蔵27－1－47口達書)</t>
    <rPh sb="24" eb="25">
      <t>シ</t>
    </rPh>
    <rPh sb="25" eb="26">
      <t>シ</t>
    </rPh>
    <rPh sb="26" eb="28">
      <t>キンセイ</t>
    </rPh>
    <rPh sb="29" eb="31">
      <t>キンダイ</t>
    </rPh>
    <rPh sb="32" eb="36">
      <t>ゲンダイシリョウ</t>
    </rPh>
    <phoneticPr fontId="2"/>
  </si>
  <si>
    <t>日本の歴史の中の亀山／近世の亀山／新政府の成立／明治二年藩知事の任命</t>
    <rPh sb="0" eb="17">
      <t>ニホンノレキシノナカノカメヤマ／キンセイノカメヤマ・</t>
    </rPh>
    <rPh sb="17" eb="20">
      <t>シンセイフ</t>
    </rPh>
    <rPh sb="21" eb="23">
      <t>セイリツ</t>
    </rPh>
    <rPh sb="24" eb="26">
      <t>メイジ</t>
    </rPh>
    <rPh sb="26" eb="28">
      <t>２ネン</t>
    </rPh>
    <rPh sb="28" eb="29">
      <t>ハン</t>
    </rPh>
    <rPh sb="29" eb="31">
      <t>チジ</t>
    </rPh>
    <rPh sb="32" eb="34">
      <t>ニンメイ</t>
    </rPh>
    <phoneticPr fontId="2"/>
  </si>
  <si>
    <t>http://kameyamarekihaku.jp/kodomo/w_e_b/rekishi/kinsei/sinseihu/page004.html</t>
  </si>
  <si>
    <t>明治2</t>
    <phoneticPr fontId="2"/>
  </si>
  <si>
    <t>藩校明倫舎を明倫館と改称する</t>
    <rPh sb="0" eb="2">
      <t>ハンコウ</t>
    </rPh>
    <rPh sb="2" eb="4">
      <t>メイリン</t>
    </rPh>
    <rPh sb="4" eb="5">
      <t>シャ</t>
    </rPh>
    <rPh sb="6" eb="8">
      <t>メイリン</t>
    </rPh>
    <rPh sb="8" eb="9">
      <t>カン</t>
    </rPh>
    <rPh sb="10" eb="12">
      <t>カイショウ</t>
    </rPh>
    <phoneticPr fontId="2"/>
  </si>
  <si>
    <t>藩校明倫館</t>
    <phoneticPr fontId="2"/>
  </si>
  <si>
    <t>日本の歴史の中の亀山／近世の亀山／新しい学問と化政文化／藩校明倫舎</t>
    <rPh sb="0" eb="17">
      <t>ニホンノレキシノナカノカメヤマ／キンセイノカメヤマ・</t>
    </rPh>
    <rPh sb="17" eb="18">
      <t>アタラ</t>
    </rPh>
    <rPh sb="20" eb="22">
      <t>ガクモン</t>
    </rPh>
    <rPh sb="23" eb="27">
      <t>カセイブンカ</t>
    </rPh>
    <rPh sb="28" eb="30">
      <t>ハンコウ</t>
    </rPh>
    <rPh sb="30" eb="32">
      <t>メイリン</t>
    </rPh>
    <rPh sb="32" eb="33">
      <t>シャ</t>
    </rPh>
    <phoneticPr fontId="2"/>
  </si>
  <si>
    <t>第３回企画展『亀山市内の小学校』
『亀山市史』歴史分野　近代・現代ページ
『亀山市史』通史　近世</t>
    <rPh sb="0" eb="1">
      <t>ダイ</t>
    </rPh>
    <rPh sb="2" eb="3">
      <t>カイ</t>
    </rPh>
    <rPh sb="3" eb="6">
      <t>キカクテン</t>
    </rPh>
    <rPh sb="7" eb="9">
      <t>カメヤマ</t>
    </rPh>
    <rPh sb="9" eb="11">
      <t>シナイ</t>
    </rPh>
    <rPh sb="12" eb="15">
      <t>ショウガッコウ</t>
    </rPh>
    <rPh sb="17" eb="36">
      <t>レキ</t>
    </rPh>
    <rPh sb="38" eb="41">
      <t>カメヤマシ</t>
    </rPh>
    <rPh sb="41" eb="42">
      <t>シ</t>
    </rPh>
    <rPh sb="43" eb="45">
      <t>ツウシ</t>
    </rPh>
    <rPh sb="46" eb="48">
      <t>キンセイ</t>
    </rPh>
    <phoneticPr fontId="2"/>
  </si>
  <si>
    <t>学校のあゆみ／亀山県時代の学校</t>
    <rPh sb="7" eb="9">
      <t>カメヤマ</t>
    </rPh>
    <rPh sb="9" eb="10">
      <t>ケン</t>
    </rPh>
    <rPh sb="10" eb="12">
      <t>ジダイ</t>
    </rPh>
    <rPh sb="13" eb="15">
      <t>ガッコウ</t>
    </rPh>
    <phoneticPr fontId="2"/>
  </si>
  <si>
    <t>http://kameyamarekihaku.jp/kodomo/w_e_b/ayumi/page002.html</t>
  </si>
  <si>
    <t>明治3</t>
    <phoneticPr fontId="2"/>
  </si>
  <si>
    <t>明治政府による亀山藩の剣術が心形刀流に統一された</t>
    <rPh sb="0" eb="2">
      <t>メイジ</t>
    </rPh>
    <rPh sb="2" eb="4">
      <t>セイフ</t>
    </rPh>
    <rPh sb="7" eb="9">
      <t>カメヤマ</t>
    </rPh>
    <rPh sb="9" eb="10">
      <t>ハン</t>
    </rPh>
    <rPh sb="11" eb="13">
      <t>ケンジュツ</t>
    </rPh>
    <rPh sb="14" eb="15">
      <t>シン</t>
    </rPh>
    <rPh sb="15" eb="16">
      <t>ギョウ</t>
    </rPh>
    <rPh sb="16" eb="17">
      <t>トウ</t>
    </rPh>
    <rPh sb="17" eb="18">
      <t>リュウ</t>
    </rPh>
    <rPh sb="19" eb="21">
      <t>トウイツ</t>
    </rPh>
    <phoneticPr fontId="2"/>
  </si>
  <si>
    <t>南野村（南野町）</t>
    <rPh sb="0" eb="1">
      <t>ミナミ</t>
    </rPh>
    <rPh sb="1" eb="3">
      <t>ノムラ</t>
    </rPh>
    <rPh sb="4" eb="5">
      <t>ミナミ</t>
    </rPh>
    <rPh sb="5" eb="6">
      <t>ノ</t>
    </rPh>
    <rPh sb="6" eb="7">
      <t>チョウ</t>
    </rPh>
    <phoneticPr fontId="2"/>
  </si>
  <si>
    <t>亀山演武場</t>
    <rPh sb="0" eb="2">
      <t>カメヤマ</t>
    </rPh>
    <rPh sb="2" eb="3">
      <t>エン</t>
    </rPh>
    <rPh sb="3" eb="5">
      <t>タケバ</t>
    </rPh>
    <phoneticPr fontId="2"/>
  </si>
  <si>
    <t>『亀山演武場要覧』（亀山演武場開場百年記念会）
平成25年度亀山市地域歴史遺産（亀山藩御流儀心形刀流武芸形）保存継承活用事業パンフレット</t>
    <rPh sb="1" eb="3">
      <t>カメヤマ</t>
    </rPh>
    <rPh sb="3" eb="4">
      <t>エン</t>
    </rPh>
    <rPh sb="4" eb="5">
      <t>ブ</t>
    </rPh>
    <rPh sb="5" eb="6">
      <t>ジョウ</t>
    </rPh>
    <rPh sb="6" eb="8">
      <t>ヨウラン</t>
    </rPh>
    <rPh sb="10" eb="12">
      <t>カメヤマ</t>
    </rPh>
    <rPh sb="12" eb="13">
      <t>エン</t>
    </rPh>
    <rPh sb="13" eb="14">
      <t>ブ</t>
    </rPh>
    <rPh sb="14" eb="15">
      <t>ジョウ</t>
    </rPh>
    <rPh sb="15" eb="17">
      <t>カイジョウ</t>
    </rPh>
    <rPh sb="17" eb="19">
      <t>ヒャクネン</t>
    </rPh>
    <rPh sb="19" eb="21">
      <t>キネン</t>
    </rPh>
    <rPh sb="21" eb="22">
      <t>カイ</t>
    </rPh>
    <phoneticPr fontId="2"/>
  </si>
  <si>
    <t>大風雨により田茂・下庄・中庄浸水</t>
    <rPh sb="0" eb="3">
      <t>ダイフウウ</t>
    </rPh>
    <rPh sb="6" eb="8">
      <t>タモ</t>
    </rPh>
    <rPh sb="9" eb="10">
      <t>シタ</t>
    </rPh>
    <rPh sb="10" eb="11">
      <t>ショウ</t>
    </rPh>
    <rPh sb="12" eb="13">
      <t>ナカ</t>
    </rPh>
    <rPh sb="13" eb="14">
      <t>ショウ</t>
    </rPh>
    <rPh sb="14" eb="16">
      <t>シンスイ</t>
    </rPh>
    <phoneticPr fontId="2"/>
  </si>
  <si>
    <t>亀山南・昼生</t>
    <rPh sb="0" eb="2">
      <t>カメヤマ</t>
    </rPh>
    <rPh sb="2" eb="3">
      <t>ミナミ</t>
    </rPh>
    <rPh sb="4" eb="5">
      <t>ヒル</t>
    </rPh>
    <rPh sb="5" eb="6">
      <t>セイ</t>
    </rPh>
    <phoneticPr fontId="2"/>
  </si>
  <si>
    <t>田茂町・下庄町・中庄町</t>
    <rPh sb="2" eb="3">
      <t>チョウ</t>
    </rPh>
    <rPh sb="6" eb="7">
      <t>チョウ</t>
    </rPh>
    <rPh sb="10" eb="11">
      <t>チョウ</t>
    </rPh>
    <phoneticPr fontId="2"/>
  </si>
  <si>
    <t>『亀山市史』歴史分野</t>
    <rPh sb="0" eb="10">
      <t>レ</t>
    </rPh>
    <phoneticPr fontId="2"/>
  </si>
  <si>
    <t>明治4</t>
    <phoneticPr fontId="2"/>
  </si>
  <si>
    <t>亀山に郵便取扱所ができる</t>
    <rPh sb="3" eb="5">
      <t>ユウビン</t>
    </rPh>
    <rPh sb="5" eb="7">
      <t>トリアツカイ</t>
    </rPh>
    <rPh sb="7" eb="8">
      <t>ショ</t>
    </rPh>
    <phoneticPr fontId="2"/>
  </si>
  <si>
    <t>郵便取扱所</t>
  </si>
  <si>
    <t>日本の歴史の中の亀山／近代の亀山／明治維新と亀山／郵便制度の開始</t>
    <rPh sb="0" eb="2">
      <t>ニホン</t>
    </rPh>
    <rPh sb="11" eb="13">
      <t>キンダイ</t>
    </rPh>
    <rPh sb="14" eb="24">
      <t>カメヤマ・メイジイシントカメヤマ</t>
    </rPh>
    <rPh sb="25" eb="27">
      <t>ユウビン</t>
    </rPh>
    <rPh sb="27" eb="29">
      <t>セイド</t>
    </rPh>
    <rPh sb="30" eb="32">
      <t>カイシ</t>
    </rPh>
    <phoneticPr fontId="2"/>
  </si>
  <si>
    <t>http://kameyamarekihaku.jp/kodomo/w_e_b/rekishi/kindai/meijiishin/page006.html</t>
  </si>
  <si>
    <t>『亀山のあゆみ』年表</t>
    <rPh sb="1" eb="3">
      <t>カメヤマ</t>
    </rPh>
    <rPh sb="8" eb="10">
      <t>ネンピョウ</t>
    </rPh>
    <phoneticPr fontId="2"/>
  </si>
  <si>
    <t>明治4</t>
    <phoneticPr fontId="2"/>
  </si>
  <si>
    <t>藩をやめて府・県を置く（廃藩置県）</t>
  </si>
  <si>
    <t>７月亀山藩・津藩・久居藩が亀山県・津県・久居県となる
１１月各県が廃止となる</t>
    <rPh sb="1" eb="2">
      <t>ガツ</t>
    </rPh>
    <rPh sb="29" eb="30">
      <t>ガツ</t>
    </rPh>
    <rPh sb="33" eb="35">
      <t>ハイシ</t>
    </rPh>
    <phoneticPr fontId="2"/>
  </si>
  <si>
    <t>日本の歴史の中の亀山／近世の亀山／藩から県へ</t>
    <rPh sb="0" eb="17">
      <t>ニホンノレキシノナカノカメヤマ／キンセイノカメヤマ・</t>
    </rPh>
    <rPh sb="17" eb="18">
      <t>ハン</t>
    </rPh>
    <rPh sb="20" eb="21">
      <t>ケン</t>
    </rPh>
    <phoneticPr fontId="2"/>
  </si>
  <si>
    <t>http://kameyamarekihaku.jp/kodomo/w_e_b/rekishi/kinsei/page003.html</t>
  </si>
  <si>
    <t xml:space="preserve">『三重県史』資料編近代１
『亀山市史』通史　近代現代
『亀山市史』歴史分野　近代・現代ページ
</t>
    <rPh sb="13" eb="26">
      <t>ゲ</t>
    </rPh>
    <rPh sb="27" eb="46">
      <t>レキ</t>
    </rPh>
    <phoneticPr fontId="2"/>
  </si>
  <si>
    <t>日本の歴史の中の亀山／近代の亀山／明治維新と亀山／廃藩置県</t>
    <rPh sb="0" eb="2">
      <t>ニホン</t>
    </rPh>
    <rPh sb="11" eb="13">
      <t>キンダイ</t>
    </rPh>
    <rPh sb="14" eb="16">
      <t>カメヤマ</t>
    </rPh>
    <rPh sb="17" eb="19">
      <t>メイジ</t>
    </rPh>
    <rPh sb="19" eb="21">
      <t>イシン</t>
    </rPh>
    <rPh sb="22" eb="24">
      <t>カメヤマ</t>
    </rPh>
    <rPh sb="25" eb="29">
      <t>ハイハンチケン</t>
    </rPh>
    <phoneticPr fontId="2"/>
  </si>
  <si>
    <t>http://kameyamarekihaku.jp/kodomo/w_e_b/rekishi/kindai/meijiishin/page001.html</t>
  </si>
  <si>
    <t>明治4</t>
    <phoneticPr fontId="2"/>
  </si>
  <si>
    <t>藩校明倫館閉校</t>
    <rPh sb="0" eb="2">
      <t>ハンコウ</t>
    </rPh>
    <rPh sb="2" eb="4">
      <t>メイリン</t>
    </rPh>
    <rPh sb="4" eb="5">
      <t>カン</t>
    </rPh>
    <rPh sb="5" eb="7">
      <t>ヘイコウ</t>
    </rPh>
    <phoneticPr fontId="2"/>
  </si>
  <si>
    <t>藩校明倫館</t>
    <phoneticPr fontId="2"/>
  </si>
  <si>
    <t>第３回企画展『亀山市内の小学校』</t>
    <rPh sb="0" eb="1">
      <t>ダイ</t>
    </rPh>
    <rPh sb="2" eb="3">
      <t>カイ</t>
    </rPh>
    <rPh sb="3" eb="6">
      <t>キカクテン</t>
    </rPh>
    <rPh sb="7" eb="9">
      <t>カメヤマ</t>
    </rPh>
    <rPh sb="9" eb="11">
      <t>シナイ</t>
    </rPh>
    <rPh sb="12" eb="15">
      <t>ショウガッコウ</t>
    </rPh>
    <phoneticPr fontId="2"/>
  </si>
  <si>
    <t>明治時代</t>
    <rPh sb="0" eb="2">
      <t>メイジ</t>
    </rPh>
    <rPh sb="2" eb="4">
      <t>ジダイ</t>
    </rPh>
    <phoneticPr fontId="2"/>
  </si>
  <si>
    <t>明治4</t>
    <rPh sb="0" eb="2">
      <t>メイジ</t>
    </rPh>
    <phoneticPr fontId="2"/>
  </si>
  <si>
    <t>戸籍法が定められる</t>
    <rPh sb="0" eb="3">
      <t>コセキホウ</t>
    </rPh>
    <rPh sb="4" eb="5">
      <t>サダ</t>
    </rPh>
    <phoneticPr fontId="2"/>
  </si>
  <si>
    <t>日本の歴史の中の亀山／近代の亀山／明治維新と亀山／戸籍調査の実施と戸長制度</t>
    <rPh sb="25" eb="27">
      <t>コセキ</t>
    </rPh>
    <rPh sb="27" eb="29">
      <t>チョウサ</t>
    </rPh>
    <rPh sb="30" eb="32">
      <t>ジッシ</t>
    </rPh>
    <rPh sb="33" eb="35">
      <t>コチョウ</t>
    </rPh>
    <rPh sb="35" eb="37">
      <t>セイド</t>
    </rPh>
    <phoneticPr fontId="2"/>
  </si>
  <si>
    <t>http://kameyamarekihaku.jp/kodomo/w_e_b/rekishi/kindai/meijiishin/page002.html</t>
  </si>
  <si>
    <t>『亀山市史』通史　近代現代</t>
    <rPh sb="0" eb="13">
      <t>ゲ</t>
    </rPh>
    <phoneticPr fontId="2"/>
  </si>
  <si>
    <t>明治4</t>
    <phoneticPr fontId="2"/>
  </si>
  <si>
    <t>「解放令」が出される</t>
  </si>
  <si>
    <t>御引渡後事務取扱候者姓名(市史近世・近代・現代史料データベース　西丸町個人Ⅰ所蔵6－0－10)</t>
    <rPh sb="13" eb="14">
      <t>シ</t>
    </rPh>
    <rPh sb="14" eb="15">
      <t>シ</t>
    </rPh>
    <rPh sb="15" eb="17">
      <t>キンセイ</t>
    </rPh>
    <rPh sb="18" eb="20">
      <t>キンダイ</t>
    </rPh>
    <rPh sb="21" eb="25">
      <t>ゲンダイシリョウ</t>
    </rPh>
    <phoneticPr fontId="2"/>
  </si>
  <si>
    <t>日本の歴史の中の亀山／近代の亀山／明治維新と亀山／身分制度の廃止</t>
    <rPh sb="0" eb="2">
      <t>ニホン</t>
    </rPh>
    <rPh sb="11" eb="13">
      <t>キンダイ</t>
    </rPh>
    <rPh sb="14" eb="16">
      <t>カメヤマ</t>
    </rPh>
    <rPh sb="17" eb="19">
      <t>メイジ</t>
    </rPh>
    <rPh sb="19" eb="21">
      <t>イシン</t>
    </rPh>
    <rPh sb="22" eb="24">
      <t>カメヤマ</t>
    </rPh>
    <rPh sb="25" eb="27">
      <t>ミブン</t>
    </rPh>
    <rPh sb="27" eb="29">
      <t>セイド</t>
    </rPh>
    <rPh sb="30" eb="32">
      <t>ハイシ</t>
    </rPh>
    <phoneticPr fontId="2"/>
  </si>
  <si>
    <t>http://kameyamarekihaku.jp/kodomo/w_e_b/rekishi/kindai/meijiishin/mibunseido/index.html</t>
  </si>
  <si>
    <t>明治5</t>
    <phoneticPr fontId="2"/>
  </si>
  <si>
    <t>２月亀山県・津県・久居県が安濃津県となる
坂下村は、度会県から安濃津県に入る
備中国の亀山県は深津県（岡山県）に入る</t>
    <rPh sb="39" eb="41">
      <t>ビッチュウ</t>
    </rPh>
    <rPh sb="41" eb="42">
      <t>コク</t>
    </rPh>
    <rPh sb="43" eb="45">
      <t>カメヤマ</t>
    </rPh>
    <rPh sb="45" eb="46">
      <t>ケン</t>
    </rPh>
    <rPh sb="47" eb="49">
      <t>フカツ</t>
    </rPh>
    <rPh sb="49" eb="50">
      <t>ケン</t>
    </rPh>
    <rPh sb="51" eb="54">
      <t>オカヤマケン</t>
    </rPh>
    <rPh sb="56" eb="57">
      <t>ハイ</t>
    </rPh>
    <phoneticPr fontId="2"/>
  </si>
  <si>
    <t>『三重県史』資料編近代１
『亀山市史』歴史分野</t>
    <rPh sb="14" eb="17">
      <t>カメヤマシ</t>
    </rPh>
    <rPh sb="17" eb="18">
      <t>シ</t>
    </rPh>
    <rPh sb="19" eb="21">
      <t>レキシ</t>
    </rPh>
    <rPh sb="21" eb="23">
      <t>ブンヤ</t>
    </rPh>
    <phoneticPr fontId="2"/>
  </si>
  <si>
    <t>学制を定め,全国に小学校をつくる</t>
  </si>
  <si>
    <t>日本の歴史の中の亀山／近代の亀山／明治維新と亀山／学制の公布と亀山の学校</t>
    <rPh sb="25" eb="27">
      <t>ガクセイ</t>
    </rPh>
    <rPh sb="28" eb="30">
      <t>コウフ</t>
    </rPh>
    <rPh sb="31" eb="33">
      <t>カメヤマ</t>
    </rPh>
    <rPh sb="34" eb="36">
      <t>ガッコウ</t>
    </rPh>
    <phoneticPr fontId="2"/>
  </si>
  <si>
    <t>http://kameyamarekihaku.jp/kodomo/w_e_b/rekishi/kindai/bunmeikaika/gakusei/index.html</t>
  </si>
  <si>
    <t>旧亀山県（岡山県）中津井村解放令反対一揆がおこる</t>
    <rPh sb="5" eb="8">
      <t>オカヤマケン</t>
    </rPh>
    <phoneticPr fontId="2"/>
  </si>
  <si>
    <t>日本の歴史の中の亀山／近代の亀山／明治維新と亀山／身分制度の廃止</t>
    <rPh sb="0" eb="2">
      <t>ニホン</t>
    </rPh>
    <rPh sb="11" eb="13">
      <t>キンダイ</t>
    </rPh>
    <rPh sb="14" eb="25">
      <t>カメヤマ・メイジイシントカメヤマ・</t>
    </rPh>
    <rPh sb="25" eb="27">
      <t>ミブン</t>
    </rPh>
    <rPh sb="27" eb="29">
      <t>セイド</t>
    </rPh>
    <rPh sb="30" eb="32">
      <t>ハイシ</t>
    </rPh>
    <phoneticPr fontId="2"/>
  </si>
  <si>
    <t>学制が第二大区一番中学区鈴鹿郡と三番中学区奄芸郡で一番から十六番小学区に入る</t>
    <phoneticPr fontId="2"/>
  </si>
  <si>
    <t>新橋・横浜間に鉄道が開通する</t>
  </si>
  <si>
    <t>安濃津県から三重県となり、三重郡四日市に県庁を移した</t>
    <rPh sb="0" eb="3">
      <t>アノツ</t>
    </rPh>
    <rPh sb="3" eb="4">
      <t>ケン</t>
    </rPh>
    <rPh sb="6" eb="9">
      <t>ミエケン</t>
    </rPh>
    <rPh sb="13" eb="16">
      <t>ミエグン</t>
    </rPh>
    <rPh sb="16" eb="18">
      <t>ヨッカ</t>
    </rPh>
    <rPh sb="18" eb="19">
      <t>イチ</t>
    </rPh>
    <rPh sb="20" eb="22">
      <t>ケンチョウ</t>
    </rPh>
    <rPh sb="23" eb="24">
      <t>ウツ</t>
    </rPh>
    <phoneticPr fontId="2"/>
  </si>
  <si>
    <t>『三重県史』資料編近代１</t>
  </si>
  <si>
    <t>従来の郡・町村の地域割りを大区・小区に改正し、庄屋・肝煎等の村役人が廃止された</t>
    <rPh sb="0" eb="2">
      <t>ジュウライ</t>
    </rPh>
    <rPh sb="3" eb="4">
      <t>グン</t>
    </rPh>
    <rPh sb="5" eb="7">
      <t>チョウソン</t>
    </rPh>
    <rPh sb="8" eb="10">
      <t>チイキ</t>
    </rPh>
    <rPh sb="10" eb="11">
      <t>ワ</t>
    </rPh>
    <rPh sb="13" eb="15">
      <t>ダイク</t>
    </rPh>
    <rPh sb="16" eb="18">
      <t>ショウク</t>
    </rPh>
    <rPh sb="19" eb="21">
      <t>カイセイ</t>
    </rPh>
    <rPh sb="23" eb="25">
      <t>ショウヤ</t>
    </rPh>
    <rPh sb="26" eb="28">
      <t>キモイリ</t>
    </rPh>
    <rPh sb="28" eb="29">
      <t>ナド</t>
    </rPh>
    <rPh sb="30" eb="33">
      <t>ムラヤクニン</t>
    </rPh>
    <rPh sb="34" eb="36">
      <t>ハイシ</t>
    </rPh>
    <phoneticPr fontId="2"/>
  </si>
  <si>
    <t>鈴鹿郡は第六大区１から５の小区、安芸郡の内、萩原・福徳・楠原は第七大区四の小区になった</t>
    <rPh sb="0" eb="3">
      <t>スズカグン</t>
    </rPh>
    <rPh sb="4" eb="6">
      <t>ダイロク</t>
    </rPh>
    <rPh sb="6" eb="8">
      <t>ダイク</t>
    </rPh>
    <rPh sb="13" eb="15">
      <t>ショウク</t>
    </rPh>
    <rPh sb="16" eb="19">
      <t>アゲグン</t>
    </rPh>
    <rPh sb="20" eb="21">
      <t>ウチ</t>
    </rPh>
    <rPh sb="22" eb="24">
      <t>ハギワラ</t>
    </rPh>
    <rPh sb="25" eb="27">
      <t>フクトク</t>
    </rPh>
    <rPh sb="28" eb="29">
      <t>クス</t>
    </rPh>
    <rPh sb="29" eb="30">
      <t>ハラ</t>
    </rPh>
    <rPh sb="31" eb="33">
      <t>ダイナナ</t>
    </rPh>
    <rPh sb="33" eb="34">
      <t>ダイ</t>
    </rPh>
    <rPh sb="34" eb="35">
      <t>ク</t>
    </rPh>
    <rPh sb="35" eb="36">
      <t>ヨン</t>
    </rPh>
    <rPh sb="37" eb="39">
      <t>ショウク</t>
    </rPh>
    <phoneticPr fontId="2"/>
  </si>
  <si>
    <t>三条教則が出され、神官と僧侶が教導職になって布教する</t>
    <rPh sb="0" eb="2">
      <t>サンジョウ</t>
    </rPh>
    <rPh sb="2" eb="4">
      <t>キョウソク</t>
    </rPh>
    <rPh sb="5" eb="6">
      <t>ダ</t>
    </rPh>
    <rPh sb="9" eb="11">
      <t>シンカン</t>
    </rPh>
    <rPh sb="12" eb="14">
      <t>ソウリョ</t>
    </rPh>
    <rPh sb="15" eb="17">
      <t>キョウドウ</t>
    </rPh>
    <rPh sb="17" eb="18">
      <t>ショク</t>
    </rPh>
    <rPh sb="22" eb="24">
      <t>フキョウ</t>
    </rPh>
    <phoneticPr fontId="2"/>
  </si>
  <si>
    <t>三重県は後の警察となる警備掛を設置し、捕亡吏と改称、亀山の屯所に捕亡吏１人と属４人が配備され、町村の捕亡吏手先を指揮した</t>
    <rPh sb="0" eb="3">
      <t>ミエケン</t>
    </rPh>
    <rPh sb="4" eb="5">
      <t>ノチ</t>
    </rPh>
    <rPh sb="6" eb="8">
      <t>ケイサツ</t>
    </rPh>
    <rPh sb="11" eb="13">
      <t>ケイビ</t>
    </rPh>
    <rPh sb="13" eb="14">
      <t>カカリ</t>
    </rPh>
    <rPh sb="15" eb="17">
      <t>セッチ</t>
    </rPh>
    <rPh sb="19" eb="22">
      <t>ホボウリ</t>
    </rPh>
    <rPh sb="23" eb="25">
      <t>カイショウ</t>
    </rPh>
    <rPh sb="26" eb="28">
      <t>カメヤマ</t>
    </rPh>
    <rPh sb="29" eb="31">
      <t>トンショ</t>
    </rPh>
    <rPh sb="32" eb="35">
      <t>ホボウリ</t>
    </rPh>
    <rPh sb="35" eb="37">
      <t>ヒトリ</t>
    </rPh>
    <rPh sb="38" eb="39">
      <t>ゾク</t>
    </rPh>
    <rPh sb="39" eb="41">
      <t>ヨニン</t>
    </rPh>
    <rPh sb="42" eb="44">
      <t>ハイビ</t>
    </rPh>
    <rPh sb="47" eb="49">
      <t>チョウソン</t>
    </rPh>
    <rPh sb="50" eb="53">
      <t>ホボウリ</t>
    </rPh>
    <rPh sb="53" eb="55">
      <t>テサキ</t>
    </rPh>
    <rPh sb="56" eb="58">
      <t>シキ</t>
    </rPh>
    <phoneticPr fontId="2"/>
  </si>
  <si>
    <t>日本の歴史の中の亀山／近代の亀山／明治維新と亀山／警察制度</t>
    <rPh sb="25" eb="27">
      <t>ケイサツ</t>
    </rPh>
    <rPh sb="27" eb="29">
      <t>セイド</t>
    </rPh>
    <phoneticPr fontId="2"/>
  </si>
  <si>
    <t>http://kameyamarekihaku.jp/kodomo/w_e_b/rekishi/kindai/meijiishin/keisatsu/index.html</t>
  </si>
  <si>
    <t>『亀山市史』通史 近代現代</t>
    <rPh sb="1" eb="4">
      <t>カメヤマシ</t>
    </rPh>
    <rPh sb="4" eb="5">
      <t>シ</t>
    </rPh>
    <rPh sb="6" eb="8">
      <t>ツウシ</t>
    </rPh>
    <rPh sb="9" eb="10">
      <t>キン</t>
    </rPh>
    <rPh sb="10" eb="11">
      <t>ダイ</t>
    </rPh>
    <rPh sb="11" eb="13">
      <t>ゲンダイ</t>
    </rPh>
    <phoneticPr fontId="2"/>
  </si>
  <si>
    <t>明治6</t>
    <phoneticPr fontId="2"/>
  </si>
  <si>
    <t>廃城令により亀山城の建物が売られ、取り壊しとなる
本丸東南隅の多門櫓は近藤幸殖が落札し、そのまま授産場や学校の教室として利用される</t>
    <rPh sb="0" eb="1">
      <t>ハイ</t>
    </rPh>
    <rPh sb="1" eb="2">
      <t>シロ</t>
    </rPh>
    <rPh sb="2" eb="3">
      <t>レイ</t>
    </rPh>
    <rPh sb="6" eb="8">
      <t>カメヤマ</t>
    </rPh>
    <rPh sb="8" eb="9">
      <t>シロ</t>
    </rPh>
    <rPh sb="10" eb="12">
      <t>タテモノ</t>
    </rPh>
    <rPh sb="13" eb="14">
      <t>ウ</t>
    </rPh>
    <rPh sb="17" eb="18">
      <t>ト</t>
    </rPh>
    <rPh sb="19" eb="20">
      <t>コワ</t>
    </rPh>
    <rPh sb="25" eb="27">
      <t>ホンマル</t>
    </rPh>
    <rPh sb="27" eb="29">
      <t>トウナン</t>
    </rPh>
    <rPh sb="29" eb="30">
      <t>スミ</t>
    </rPh>
    <rPh sb="31" eb="33">
      <t>タモン</t>
    </rPh>
    <rPh sb="33" eb="34">
      <t>ヤグラ</t>
    </rPh>
    <rPh sb="35" eb="37">
      <t>コンドウ</t>
    </rPh>
    <rPh sb="37" eb="38">
      <t>ユキ</t>
    </rPh>
    <rPh sb="40" eb="42">
      <t>ラクサツ</t>
    </rPh>
    <rPh sb="48" eb="50">
      <t>ジュサン</t>
    </rPh>
    <rPh sb="50" eb="51">
      <t>ジョウ</t>
    </rPh>
    <rPh sb="52" eb="54">
      <t>ガッコウ</t>
    </rPh>
    <rPh sb="55" eb="57">
      <t>キョウシツ</t>
    </rPh>
    <rPh sb="60" eb="62">
      <t>リヨウ</t>
    </rPh>
    <phoneticPr fontId="2"/>
  </si>
  <si>
    <t>亀山城</t>
    <rPh sb="0" eb="2">
      <t>カメヤマ</t>
    </rPh>
    <rPh sb="2" eb="3">
      <t>ジョウ</t>
    </rPh>
    <phoneticPr fontId="2"/>
  </si>
  <si>
    <t>石坂門多門櫓棟札</t>
    <rPh sb="0" eb="2">
      <t>イシザカ</t>
    </rPh>
    <rPh sb="2" eb="3">
      <t>モン</t>
    </rPh>
    <rPh sb="3" eb="5">
      <t>タモン</t>
    </rPh>
    <rPh sb="5" eb="6">
      <t>ヤグラ</t>
    </rPh>
    <rPh sb="6" eb="7">
      <t>ムネ</t>
    </rPh>
    <rPh sb="7" eb="8">
      <t>フダ</t>
    </rPh>
    <phoneticPr fontId="2"/>
  </si>
  <si>
    <t>亀山城と宿場／亀山城のつくり／櫓／多門櫓</t>
    <rPh sb="15" eb="16">
      <t>ヤグラ</t>
    </rPh>
    <rPh sb="17" eb="19">
      <t>タモン</t>
    </rPh>
    <rPh sb="19" eb="20">
      <t>ヤグラ</t>
    </rPh>
    <phoneticPr fontId="2"/>
  </si>
  <si>
    <t>http://kameyamarekihaku.jp/kodomo/w_e_b/syukuba/tsukuri/yagura/tamon/index.html</t>
  </si>
  <si>
    <t>『亀山市史』考古分野
『亀山市史』通史　近世</t>
    <rPh sb="1" eb="4">
      <t>カメヤマシ</t>
    </rPh>
    <rPh sb="4" eb="5">
      <t>シ</t>
    </rPh>
    <rPh sb="6" eb="8">
      <t>コウコ</t>
    </rPh>
    <rPh sb="8" eb="10">
      <t>ブンヤ</t>
    </rPh>
    <rPh sb="11" eb="22">
      <t>キ</t>
    </rPh>
    <phoneticPr fontId="2"/>
  </si>
  <si>
    <t>亀山城と宿場／亀山城のおわりから文化財の亀山城へ／亀山城のとりこわし</t>
    <phoneticPr fontId="2"/>
  </si>
  <si>
    <t>http://kameyamarekihaku.jp/kodomo/w_e_b/syukuba/bunkazai/page004.html</t>
  </si>
  <si>
    <t>徴兵令が出される　</t>
  </si>
  <si>
    <t>日本の歴史の中の亀山／近代の亀山／明治維新と亀山／徴兵令</t>
    <rPh sb="0" eb="2">
      <t>ニホン</t>
    </rPh>
    <rPh sb="11" eb="13">
      <t>キンダイ</t>
    </rPh>
    <rPh sb="14" eb="21">
      <t>カメヤマ・メイジイシン</t>
    </rPh>
    <rPh sb="22" eb="24">
      <t>カメヤマ</t>
    </rPh>
    <rPh sb="25" eb="28">
      <t>チョウヘイレイ</t>
    </rPh>
    <phoneticPr fontId="2"/>
  </si>
  <si>
    <t>http://kameyamarekihaku.jp/kodomo/w_e_b/rekishi/kindai/meijiishin/choheirei/index.html</t>
  </si>
  <si>
    <t>明治6</t>
    <phoneticPr fontId="2"/>
  </si>
  <si>
    <t>学区制の改正により、第二大区三十五番中学区聯区一番から十四番、小学区一番から一六二番、三十七番聯区一番から九番、一番から百三十二番の内に入る</t>
  </si>
  <si>
    <t>学校のあゆみ／亀山西小学校のれきし</t>
    <phoneticPr fontId="2"/>
  </si>
  <si>
    <t>http://kameyamarekihaku.jp/kodomo/w_e_b/ayumi/page004.html</t>
  </si>
  <si>
    <t>地租改正をはじめる</t>
  </si>
  <si>
    <t>税金の対象が村の収穫高から、土地に税金をかけることになる。</t>
    <rPh sb="0" eb="2">
      <t>ゼイキン</t>
    </rPh>
    <rPh sb="3" eb="5">
      <t>タイショウ</t>
    </rPh>
    <rPh sb="6" eb="7">
      <t>ムラ</t>
    </rPh>
    <rPh sb="8" eb="10">
      <t>シュウカク</t>
    </rPh>
    <rPh sb="10" eb="11">
      <t>タカ</t>
    </rPh>
    <rPh sb="14" eb="16">
      <t>トチ</t>
    </rPh>
    <rPh sb="17" eb="19">
      <t>ゼイキン</t>
    </rPh>
    <phoneticPr fontId="2"/>
  </si>
  <si>
    <t>地券</t>
    <rPh sb="0" eb="2">
      <t>チケン</t>
    </rPh>
    <phoneticPr fontId="2"/>
  </si>
  <si>
    <t>日本の歴史の中の亀山／近代の亀山／明治維新と亀山／地券の発行と地租改正</t>
    <rPh sb="0" eb="2">
      <t>ニホン</t>
    </rPh>
    <rPh sb="11" eb="13">
      <t>キンダイ</t>
    </rPh>
    <rPh sb="14" eb="21">
      <t>カメヤマ・メイジイシン</t>
    </rPh>
    <rPh sb="22" eb="24">
      <t>カメヤマ</t>
    </rPh>
    <rPh sb="25" eb="27">
      <t>チケン</t>
    </rPh>
    <rPh sb="28" eb="30">
      <t>ハッコウ</t>
    </rPh>
    <rPh sb="31" eb="33">
      <t>チソ</t>
    </rPh>
    <rPh sb="33" eb="35">
      <t>カイセイ</t>
    </rPh>
    <phoneticPr fontId="2"/>
  </si>
  <si>
    <t>http://kameyamarekihaku.jp/kodomo/w_e_b/rekishi/kindai/meijiishin/page005.html</t>
  </si>
  <si>
    <t>館蔵資料多数
『亀山市史』通史　近代現代</t>
    <rPh sb="0" eb="2">
      <t>カンゾウ</t>
    </rPh>
    <rPh sb="2" eb="4">
      <t>シリョウ</t>
    </rPh>
    <rPh sb="4" eb="6">
      <t>タスウ</t>
    </rPh>
    <rPh sb="7" eb="20">
      <t>ゲ</t>
    </rPh>
    <phoneticPr fontId="2"/>
  </si>
  <si>
    <t>欧米の文化がとリ入れられる(文明開化)</t>
    <rPh sb="8" eb="9">
      <t>イ</t>
    </rPh>
    <phoneticPr fontId="2"/>
  </si>
  <si>
    <t>日本の歴史の中の亀山／近代の亀山／文明開化</t>
    <rPh sb="0" eb="2">
      <t>ニホン</t>
    </rPh>
    <rPh sb="11" eb="13">
      <t>キンダイ</t>
    </rPh>
    <rPh sb="14" eb="16">
      <t>カメヤマ</t>
    </rPh>
    <rPh sb="17" eb="19">
      <t>ブンメイ</t>
    </rPh>
    <rPh sb="19" eb="21">
      <t>カイカ</t>
    </rPh>
    <phoneticPr fontId="2"/>
  </si>
  <si>
    <t>http://kameyamarekihaku.jp/kodomo/w_e_b/rekishi/kindai/bunmeikaika/index.html</t>
  </si>
  <si>
    <t>明治7</t>
    <phoneticPr fontId="2"/>
  </si>
  <si>
    <t>自由民権運動がはじまる（民撰議院設立の建白書）</t>
  </si>
  <si>
    <t>日本の歴史の中の亀山／近代の亀山／立憲国家の成立／自由民権運動</t>
    <rPh sb="17" eb="19">
      <t>リッケン</t>
    </rPh>
    <rPh sb="19" eb="21">
      <t>コッカ</t>
    </rPh>
    <rPh sb="22" eb="24">
      <t>セイリツ</t>
    </rPh>
    <rPh sb="25" eb="27">
      <t>ジユウ</t>
    </rPh>
    <rPh sb="27" eb="29">
      <t>ミンケン</t>
    </rPh>
    <rPh sb="29" eb="31">
      <t>ウンドウ</t>
    </rPh>
    <phoneticPr fontId="2"/>
  </si>
  <si>
    <t>http://kameyamarekihaku.jp/kodomo/w_e_b/rekishi/kindai/rikkenkokka/page001.html</t>
  </si>
  <si>
    <t>明治8</t>
    <phoneticPr fontId="2"/>
  </si>
  <si>
    <t>小学区が改正され、学校名の一覧が出される</t>
  </si>
  <si>
    <t>学校のあゆみ／明治八年の学校</t>
    <rPh sb="0" eb="2">
      <t>ガッコウ</t>
    </rPh>
    <rPh sb="7" eb="9">
      <t>メイジ</t>
    </rPh>
    <rPh sb="9" eb="10">
      <t>ハチ</t>
    </rPh>
    <rPh sb="10" eb="11">
      <t>ネン</t>
    </rPh>
    <rPh sb="12" eb="14">
      <t>ガッコウ</t>
    </rPh>
    <phoneticPr fontId="2"/>
  </si>
  <si>
    <t>http://kameyamarekihaku.jp/kodomo/w_e_b/ayumi/page003.html</t>
  </si>
  <si>
    <t>学校のあゆみ／亀山西小学校のれきし</t>
    <phoneticPr fontId="2"/>
  </si>
  <si>
    <t>捕亡吏手先を廃止して羅卒とした</t>
    <rPh sb="0" eb="3">
      <t>ホボウリ</t>
    </rPh>
    <rPh sb="3" eb="5">
      <t>テサキ</t>
    </rPh>
    <rPh sb="6" eb="8">
      <t>ハイシ</t>
    </rPh>
    <rPh sb="10" eb="11">
      <t>ラ</t>
    </rPh>
    <rPh sb="11" eb="12">
      <t>ソツ</t>
    </rPh>
    <phoneticPr fontId="2"/>
  </si>
  <si>
    <t>鈴鹿川氾濫、井尻・和田・海善寺・川合で浸水</t>
    <rPh sb="0" eb="2">
      <t>スズカ</t>
    </rPh>
    <rPh sb="2" eb="3">
      <t>ガワ</t>
    </rPh>
    <rPh sb="3" eb="5">
      <t>ハンラン</t>
    </rPh>
    <rPh sb="6" eb="8">
      <t>イジリ</t>
    </rPh>
    <rPh sb="9" eb="11">
      <t>ワダ</t>
    </rPh>
    <rPh sb="12" eb="13">
      <t>ウミ</t>
    </rPh>
    <rPh sb="13" eb="14">
      <t>ゼン</t>
    </rPh>
    <rPh sb="14" eb="15">
      <t>テラ</t>
    </rPh>
    <rPh sb="16" eb="18">
      <t>カワイ</t>
    </rPh>
    <rPh sb="19" eb="21">
      <t>シンスイ</t>
    </rPh>
    <phoneticPr fontId="2"/>
  </si>
  <si>
    <t>亀山東･井田川</t>
    <rPh sb="0" eb="2">
      <t>カメヤマ</t>
    </rPh>
    <rPh sb="2" eb="3">
      <t>ヒガシ</t>
    </rPh>
    <rPh sb="4" eb="7">
      <t>イダガワ</t>
    </rPh>
    <phoneticPr fontId="2"/>
  </si>
  <si>
    <t>井尻町・和田町・井田川町・川合町</t>
    <rPh sb="2" eb="3">
      <t>チョウ</t>
    </rPh>
    <rPh sb="6" eb="7">
      <t>チョウ</t>
    </rPh>
    <rPh sb="8" eb="12">
      <t>イダガワチョウ</t>
    </rPh>
    <rPh sb="15" eb="16">
      <t>チョウ</t>
    </rPh>
    <phoneticPr fontId="2"/>
  </si>
  <si>
    <t>亀山のいいとこさがし／景色のよいところや歴史を知る手掛かりとなるもの／川</t>
    <phoneticPr fontId="2"/>
  </si>
  <si>
    <t>『亀山のあゆみ』</t>
    <rPh sb="1" eb="3">
      <t>カメヤマ</t>
    </rPh>
    <phoneticPr fontId="2"/>
  </si>
  <si>
    <t>明治9</t>
    <phoneticPr fontId="2"/>
  </si>
  <si>
    <t>日朝修好条規を結ぶ</t>
  </si>
  <si>
    <t>伊勢暴動がおきる</t>
  </si>
  <si>
    <t>日本の歴史の中の亀山／近代の亀山／明治維新と亀山／地券の発行と地租改正</t>
    <rPh sb="25" eb="27">
      <t>チケン</t>
    </rPh>
    <rPh sb="28" eb="30">
      <t>ハッコウ</t>
    </rPh>
    <rPh sb="31" eb="33">
      <t>チソ</t>
    </rPh>
    <rPh sb="33" eb="35">
      <t>カイセイ</t>
    </rPh>
    <phoneticPr fontId="2"/>
  </si>
  <si>
    <t>個人寄託資料（五百記家文書）、天野家</t>
    <rPh sb="0" eb="2">
      <t>コジン</t>
    </rPh>
    <rPh sb="2" eb="4">
      <t>キタク</t>
    </rPh>
    <rPh sb="4" eb="6">
      <t>シリョウ</t>
    </rPh>
    <rPh sb="7" eb="9">
      <t>ゴヒャク</t>
    </rPh>
    <rPh sb="9" eb="10">
      <t>キ</t>
    </rPh>
    <rPh sb="10" eb="11">
      <t>ケ</t>
    </rPh>
    <rPh sb="11" eb="13">
      <t>モンジョ</t>
    </rPh>
    <rPh sb="15" eb="17">
      <t>アマノ</t>
    </rPh>
    <rPh sb="17" eb="18">
      <t>ケ</t>
    </rPh>
    <phoneticPr fontId="2"/>
  </si>
  <si>
    <t>三重県と度会県が合併して三重県となる、県庁は津に置く</t>
    <rPh sb="0" eb="3">
      <t>ミエケン</t>
    </rPh>
    <rPh sb="4" eb="6">
      <t>ワタライ</t>
    </rPh>
    <rPh sb="6" eb="7">
      <t>ケン</t>
    </rPh>
    <rPh sb="8" eb="10">
      <t>ガッペイ</t>
    </rPh>
    <rPh sb="12" eb="15">
      <t>ミエケン</t>
    </rPh>
    <rPh sb="19" eb="21">
      <t>ケンチョウ</t>
    </rPh>
    <rPh sb="22" eb="23">
      <t>ツ</t>
    </rPh>
    <rPh sb="24" eb="25">
      <t>オ</t>
    </rPh>
    <phoneticPr fontId="2"/>
  </si>
  <si>
    <t>明治10</t>
    <phoneticPr fontId="2"/>
  </si>
  <si>
    <t>西南戦争がおきる</t>
  </si>
  <si>
    <t>日本の歴史の中の亀山／近代の亀山／明治維新と亀山／徴兵令／西南戦争に参加した記録</t>
    <rPh sb="25" eb="28">
      <t>チョウヘイレイ</t>
    </rPh>
    <rPh sb="29" eb="31">
      <t>セイナン</t>
    </rPh>
    <rPh sb="31" eb="33">
      <t>センソウ</t>
    </rPh>
    <rPh sb="34" eb="36">
      <t>サンカ</t>
    </rPh>
    <rPh sb="38" eb="40">
      <t>キロク</t>
    </rPh>
    <phoneticPr fontId="2"/>
  </si>
  <si>
    <t>http://kameyamarekihaku.jp/kodomo/w_e_b/rekishi/kindai/meijiishin/choheirei/page002.html</t>
  </si>
  <si>
    <t>明治12</t>
    <phoneticPr fontId="2"/>
  </si>
  <si>
    <t>亀山に銀行（第百十五銀行）開設</t>
    <rPh sb="0" eb="2">
      <t>カメヤマ</t>
    </rPh>
    <rPh sb="3" eb="5">
      <t>ギンコウ</t>
    </rPh>
    <rPh sb="6" eb="7">
      <t>ダイ</t>
    </rPh>
    <rPh sb="7" eb="10">
      <t>１１５</t>
    </rPh>
    <rPh sb="10" eb="12">
      <t>ギンコウ</t>
    </rPh>
    <rPh sb="13" eb="15">
      <t>カイセツ</t>
    </rPh>
    <phoneticPr fontId="2"/>
  </si>
  <si>
    <t>第百十五銀行</t>
    <phoneticPr fontId="2"/>
  </si>
  <si>
    <t>第百十五国立銀行開業につき祝詞（市史近世・近代・現代史料データベース　館蔵加藤家文書39-0-72）　</t>
    <rPh sb="0" eb="1">
      <t>ダイ</t>
    </rPh>
    <rPh sb="1" eb="4">
      <t>ヒャクジュウゴ</t>
    </rPh>
    <rPh sb="4" eb="6">
      <t>コクリツ</t>
    </rPh>
    <rPh sb="6" eb="8">
      <t>ギンコウ</t>
    </rPh>
    <rPh sb="16" eb="17">
      <t>シ</t>
    </rPh>
    <rPh sb="17" eb="18">
      <t>シ</t>
    </rPh>
    <rPh sb="18" eb="20">
      <t>キンセイ</t>
    </rPh>
    <rPh sb="21" eb="23">
      <t>キンダイ</t>
    </rPh>
    <rPh sb="24" eb="28">
      <t>ゲンダイシリョウ</t>
    </rPh>
    <rPh sb="35" eb="36">
      <t>カン</t>
    </rPh>
    <rPh sb="36" eb="37">
      <t>ゾウ</t>
    </rPh>
    <rPh sb="37" eb="39">
      <t>カトウ</t>
    </rPh>
    <rPh sb="39" eb="40">
      <t>ケ</t>
    </rPh>
    <rPh sb="40" eb="42">
      <t>モンジョ</t>
    </rPh>
    <phoneticPr fontId="2"/>
  </si>
  <si>
    <t>内務省により川崎村田村の丁子塚が日本武尊能褒野墓と指定される</t>
    <rPh sb="0" eb="3">
      <t>ナイムショウ</t>
    </rPh>
    <rPh sb="6" eb="9">
      <t>カワサキムラ</t>
    </rPh>
    <rPh sb="9" eb="11">
      <t>タムラ</t>
    </rPh>
    <rPh sb="12" eb="14">
      <t>チョウジ</t>
    </rPh>
    <rPh sb="14" eb="15">
      <t>ツカ</t>
    </rPh>
    <rPh sb="16" eb="18">
      <t>ニホン</t>
    </rPh>
    <rPh sb="20" eb="23">
      <t>ノボノ</t>
    </rPh>
    <rPh sb="23" eb="24">
      <t>ハカ</t>
    </rPh>
    <rPh sb="25" eb="27">
      <t>シテイ</t>
    </rPh>
    <phoneticPr fontId="2"/>
  </si>
  <si>
    <t>田村町</t>
    <rPh sb="0" eb="2">
      <t>タムラ</t>
    </rPh>
    <rPh sb="2" eb="3">
      <t>チョウ</t>
    </rPh>
    <phoneticPr fontId="2"/>
  </si>
  <si>
    <t>日本武尊白鳥陵実検につき報告書（市史近世・近代・現代史料データベース　西丸町個人Ⅰ所蔵6－0－3)</t>
    <rPh sb="16" eb="17">
      <t>シ</t>
    </rPh>
    <rPh sb="17" eb="18">
      <t>シ</t>
    </rPh>
    <rPh sb="18" eb="20">
      <t>キンセイ</t>
    </rPh>
    <rPh sb="21" eb="23">
      <t>キンダイ</t>
    </rPh>
    <rPh sb="24" eb="28">
      <t>ゲンダイシリョウ</t>
    </rPh>
    <phoneticPr fontId="2"/>
  </si>
  <si>
    <t>日本の歴史の中の亀山／近代の亀山／亀山の近代文化と日常生活／能褒野古墳の整備と神社</t>
    <rPh sb="30" eb="33">
      <t>ノボノ</t>
    </rPh>
    <rPh sb="33" eb="35">
      <t>コフン</t>
    </rPh>
    <rPh sb="36" eb="38">
      <t>セイビ</t>
    </rPh>
    <rPh sb="39" eb="41">
      <t>ジンジャ</t>
    </rPh>
    <phoneticPr fontId="2"/>
  </si>
  <si>
    <t>http://kameyamarekihaku.jp/kodomo/w_e_b/rekishi/kindai/kindaibunka/page001.html</t>
  </si>
  <si>
    <t>『近世のぼの考』
『亀山市史』通史　近世
『亀山市史』通史　近代現代</t>
    <rPh sb="1" eb="3">
      <t>キンセイ</t>
    </rPh>
    <rPh sb="6" eb="7">
      <t>コウ</t>
    </rPh>
    <rPh sb="10" eb="13">
      <t>カメヤマシ</t>
    </rPh>
    <rPh sb="13" eb="14">
      <t>シ</t>
    </rPh>
    <rPh sb="15" eb="17">
      <t>ツウシ</t>
    </rPh>
    <rPh sb="18" eb="20">
      <t>キンセイ</t>
    </rPh>
    <rPh sb="22" eb="25">
      <t>カメヤマシ</t>
    </rPh>
    <rPh sb="25" eb="26">
      <t>シ</t>
    </rPh>
    <rPh sb="27" eb="29">
      <t>ツウシ</t>
    </rPh>
    <rPh sb="30" eb="31">
      <t>キン</t>
    </rPh>
    <rPh sb="31" eb="32">
      <t>ダイ</t>
    </rPh>
    <rPh sb="32" eb="34">
      <t>ゲンダイ</t>
    </rPh>
    <phoneticPr fontId="2"/>
  </si>
  <si>
    <t>日本武尊墓祭式祝詞につき伺書（市史近世・近代・現代史料データベース　西丸町個人Ⅰ所蔵6－0－4)</t>
    <rPh sb="15" eb="16">
      <t>シ</t>
    </rPh>
    <rPh sb="16" eb="17">
      <t>シ</t>
    </rPh>
    <rPh sb="17" eb="19">
      <t>キンセイ</t>
    </rPh>
    <rPh sb="20" eb="22">
      <t>キンダイ</t>
    </rPh>
    <rPh sb="23" eb="27">
      <t>ゲンダイシリョウ</t>
    </rPh>
    <phoneticPr fontId="2"/>
  </si>
  <si>
    <t>明治13年</t>
  </si>
  <si>
    <t>国会期成同盟を結成する</t>
  </si>
  <si>
    <t>日本の歴史の中の亀山／近代の亀山／立憲国家の成立／自由民権運動</t>
    <phoneticPr fontId="2"/>
  </si>
  <si>
    <t>明治13</t>
    <phoneticPr fontId="2"/>
  </si>
  <si>
    <t xml:space="preserve">明治天皇が、山梨県･三重県巡幸の際関、亀山で休泊し、亀山では大阪鎮台と名古屋鎮台の演習を天覧する
</t>
    <rPh sb="6" eb="9">
      <t>ヤマナシケン</t>
    </rPh>
    <rPh sb="10" eb="13">
      <t>ミエケン</t>
    </rPh>
    <rPh sb="13" eb="15">
      <t>ジュンコウ</t>
    </rPh>
    <rPh sb="16" eb="17">
      <t>サイ</t>
    </rPh>
    <rPh sb="17" eb="18">
      <t>セキ</t>
    </rPh>
    <rPh sb="22" eb="23">
      <t>キュウ</t>
    </rPh>
    <rPh sb="26" eb="28">
      <t>カメヤマ</t>
    </rPh>
    <rPh sb="30" eb="32">
      <t>オオサカ</t>
    </rPh>
    <rPh sb="32" eb="34">
      <t>チンダイ</t>
    </rPh>
    <rPh sb="35" eb="38">
      <t>ナゴヤ</t>
    </rPh>
    <rPh sb="38" eb="40">
      <t>チンダイ</t>
    </rPh>
    <rPh sb="41" eb="43">
      <t>エンシュウ</t>
    </rPh>
    <rPh sb="44" eb="46">
      <t>テンラン</t>
    </rPh>
    <phoneticPr fontId="2"/>
  </si>
  <si>
    <t>関</t>
    <phoneticPr fontId="2"/>
  </si>
  <si>
    <t>和田神社の記念碑</t>
    <rPh sb="0" eb="2">
      <t>ワダ</t>
    </rPh>
    <rPh sb="2" eb="4">
      <t>ジンジャ</t>
    </rPh>
    <rPh sb="5" eb="8">
      <t>キネンヒ</t>
    </rPh>
    <phoneticPr fontId="2"/>
  </si>
  <si>
    <t>日本の歴史の中の亀山／近代の亀山／天皇・皇太子の亀山行幸／明治13年7月11日明治天皇が東町の伊藤市次郎宅に宿泊する</t>
    <rPh sb="11" eb="13">
      <t>キンダイ</t>
    </rPh>
    <rPh sb="17" eb="19">
      <t>テンノウ</t>
    </rPh>
    <rPh sb="20" eb="23">
      <t>コウタイシ</t>
    </rPh>
    <rPh sb="24" eb="26">
      <t>カメヤマ</t>
    </rPh>
    <rPh sb="26" eb="28">
      <t>ギョウコウ</t>
    </rPh>
    <rPh sb="29" eb="31">
      <t>メイジ</t>
    </rPh>
    <rPh sb="33" eb="34">
      <t>ネン</t>
    </rPh>
    <rPh sb="35" eb="36">
      <t>ガツ</t>
    </rPh>
    <rPh sb="38" eb="39">
      <t>ニチ</t>
    </rPh>
    <rPh sb="39" eb="41">
      <t>メイジ</t>
    </rPh>
    <rPh sb="41" eb="43">
      <t>テンノウ</t>
    </rPh>
    <rPh sb="44" eb="45">
      <t>ヒガシ</t>
    </rPh>
    <rPh sb="45" eb="46">
      <t>マチ</t>
    </rPh>
    <rPh sb="47" eb="49">
      <t>イトウ</t>
    </rPh>
    <rPh sb="49" eb="50">
      <t>シ</t>
    </rPh>
    <rPh sb="50" eb="52">
      <t>ジロウ</t>
    </rPh>
    <rPh sb="52" eb="53">
      <t>タク</t>
    </rPh>
    <rPh sb="54" eb="56">
      <t>シュクハク</t>
    </rPh>
    <phoneticPr fontId="2"/>
  </si>
  <si>
    <t>http://kameyamarekihaku.jp/kodomo/w_e_b/rekishi/kindai/tenno/page002.html</t>
  </si>
  <si>
    <t>『亀山のあゆみ』
『亀山市史』歴史分野</t>
    <rPh sb="1" eb="3">
      <t>カメヤマ</t>
    </rPh>
    <rPh sb="9" eb="19">
      <t>レ</t>
    </rPh>
    <phoneticPr fontId="2"/>
  </si>
  <si>
    <t>西町・東町</t>
    <rPh sb="0" eb="1">
      <t>ニシ</t>
    </rPh>
    <rPh sb="1" eb="2">
      <t>マチ</t>
    </rPh>
    <rPh sb="3" eb="4">
      <t>ヒガシ</t>
    </rPh>
    <rPh sb="4" eb="5">
      <t>マチ</t>
    </rPh>
    <phoneticPr fontId="2"/>
  </si>
  <si>
    <t>宿泊東町「藤屋」</t>
    <phoneticPr fontId="2"/>
  </si>
  <si>
    <t>明治14</t>
    <phoneticPr fontId="2"/>
  </si>
  <si>
    <t>Ｅ・Sモース、京都への途中坂下に宿泊する</t>
    <rPh sb="7" eb="9">
      <t>キョウト</t>
    </rPh>
    <rPh sb="11" eb="13">
      <t>トチュウ</t>
    </rPh>
    <rPh sb="13" eb="15">
      <t>サカシタ</t>
    </rPh>
    <rPh sb="16" eb="18">
      <t>シュクハク</t>
    </rPh>
    <phoneticPr fontId="2"/>
  </si>
  <si>
    <t>Ｅ・Ｓ・モース</t>
    <phoneticPr fontId="2"/>
  </si>
  <si>
    <t>Ｅ・Ｓモース写真</t>
    <rPh sb="6" eb="8">
      <t>シャシン</t>
    </rPh>
    <phoneticPr fontId="2"/>
  </si>
  <si>
    <t>『日本その日その日』</t>
    <rPh sb="1" eb="3">
      <t>ニホン</t>
    </rPh>
    <rPh sb="5" eb="6">
      <t>ヒ</t>
    </rPh>
    <rPh sb="8" eb="9">
      <t>ヒ</t>
    </rPh>
    <phoneticPr fontId="2"/>
  </si>
  <si>
    <t>明治14</t>
    <phoneticPr fontId="2"/>
  </si>
  <si>
    <t>国会を開くことを約束する</t>
  </si>
  <si>
    <t>日本の歴史の中の亀山／近代の亀山／立憲国家の成立／自由民権運動</t>
    <phoneticPr fontId="2"/>
  </si>
  <si>
    <t>日本の歴史の中の亀山／近代の亀山／立憲国家の成立／帝国議会と貴族院議員石川成秀</t>
    <rPh sb="25" eb="27">
      <t>テイコク</t>
    </rPh>
    <rPh sb="27" eb="29">
      <t>ギカイ</t>
    </rPh>
    <rPh sb="30" eb="33">
      <t>キゾクイン</t>
    </rPh>
    <rPh sb="33" eb="35">
      <t>ギイン</t>
    </rPh>
    <rPh sb="35" eb="37">
      <t>イシカワ</t>
    </rPh>
    <rPh sb="37" eb="39">
      <t>ナリヒデ</t>
    </rPh>
    <phoneticPr fontId="2"/>
  </si>
  <si>
    <t>http://kameyamarekihaku.jp/kodomo/w_e_b/rekishi/kindai/rikkenkokka/page003.html</t>
  </si>
  <si>
    <r>
      <t>明治1</t>
    </r>
    <r>
      <rPr>
        <sz val="11"/>
        <rFont val="ＭＳ Ｐゴシック"/>
        <family val="3"/>
        <charset val="128"/>
      </rPr>
      <t>5</t>
    </r>
    <phoneticPr fontId="2"/>
  </si>
  <si>
    <r>
      <t>亀山演武場が南野村から本丸町5</t>
    </r>
    <r>
      <rPr>
        <sz val="11"/>
        <rFont val="ＭＳ Ｐゴシック"/>
        <family val="3"/>
        <charset val="128"/>
      </rPr>
      <t>79に移築される</t>
    </r>
    <rPh sb="0" eb="2">
      <t>カメヤマ</t>
    </rPh>
    <rPh sb="2" eb="3">
      <t>エン</t>
    </rPh>
    <rPh sb="3" eb="4">
      <t>ブ</t>
    </rPh>
    <rPh sb="4" eb="5">
      <t>ジョウ</t>
    </rPh>
    <rPh sb="6" eb="7">
      <t>ミナミ</t>
    </rPh>
    <rPh sb="7" eb="9">
      <t>ノムラ</t>
    </rPh>
    <rPh sb="11" eb="14">
      <t>ホンマルチョウ</t>
    </rPh>
    <rPh sb="18" eb="20">
      <t>イチク</t>
    </rPh>
    <phoneticPr fontId="2"/>
  </si>
  <si>
    <t>亀山演武場</t>
    <rPh sb="0" eb="2">
      <t>カメヤマ</t>
    </rPh>
    <rPh sb="2" eb="5">
      <t>エンブジョウ</t>
    </rPh>
    <phoneticPr fontId="2"/>
  </si>
  <si>
    <t>ｙ</t>
    <phoneticPr fontId="2"/>
  </si>
  <si>
    <t>『亀山演武場要覧』（亀山演武場開場百年記念会）
『亀山のあゆみ』</t>
    <rPh sb="1" eb="3">
      <t>カメヤマ</t>
    </rPh>
    <rPh sb="3" eb="4">
      <t>エン</t>
    </rPh>
    <rPh sb="4" eb="5">
      <t>ブ</t>
    </rPh>
    <rPh sb="5" eb="6">
      <t>ジョウ</t>
    </rPh>
    <rPh sb="6" eb="8">
      <t>ヨウラン</t>
    </rPh>
    <rPh sb="10" eb="12">
      <t>カメヤマ</t>
    </rPh>
    <rPh sb="12" eb="13">
      <t>エン</t>
    </rPh>
    <rPh sb="13" eb="14">
      <t>ブ</t>
    </rPh>
    <rPh sb="14" eb="15">
      <t>ジョウ</t>
    </rPh>
    <rPh sb="15" eb="17">
      <t>カイジョウ</t>
    </rPh>
    <rPh sb="17" eb="19">
      <t>ヒャクネン</t>
    </rPh>
    <rPh sb="19" eb="21">
      <t>キネン</t>
    </rPh>
    <rPh sb="21" eb="22">
      <t>カイ</t>
    </rPh>
    <rPh sb="25" eb="27">
      <t>カメヤマ</t>
    </rPh>
    <phoneticPr fontId="2"/>
  </si>
  <si>
    <t>明治16</t>
    <phoneticPr fontId="2"/>
  </si>
  <si>
    <t>消防組織が、これまで消防組を設置していた町村も改め「警察庁官制」によって統轄される</t>
    <rPh sb="0" eb="2">
      <t>ショウボウ</t>
    </rPh>
    <rPh sb="2" eb="4">
      <t>ソシキ</t>
    </rPh>
    <rPh sb="10" eb="12">
      <t>ショウボウ</t>
    </rPh>
    <rPh sb="12" eb="13">
      <t>クミ</t>
    </rPh>
    <rPh sb="14" eb="16">
      <t>セッチ</t>
    </rPh>
    <rPh sb="20" eb="22">
      <t>チョウソン</t>
    </rPh>
    <rPh sb="23" eb="24">
      <t>アラタ</t>
    </rPh>
    <rPh sb="26" eb="29">
      <t>ケイサツチョウ</t>
    </rPh>
    <rPh sb="29" eb="31">
      <t>カンセイ</t>
    </rPh>
    <rPh sb="36" eb="38">
      <t>トウカツ</t>
    </rPh>
    <phoneticPr fontId="2"/>
  </si>
  <si>
    <t>日本の歴史の中の亀山／近代の亀山／明治維新と亀山／消防組</t>
    <rPh sb="25" eb="27">
      <t>ショウボウ</t>
    </rPh>
    <rPh sb="27" eb="28">
      <t>グミ</t>
    </rPh>
    <phoneticPr fontId="2"/>
  </si>
  <si>
    <t>http://kameyamarekihaku.jp/kodomo/w_e_b/rekishi/kindai/meijiishin/page003.html</t>
  </si>
  <si>
    <t>明治18</t>
    <phoneticPr fontId="2"/>
  </si>
  <si>
    <t>内閣制度ができる</t>
  </si>
  <si>
    <t>暴風雨のため辺法寺村の学校が倒壊</t>
    <rPh sb="0" eb="3">
      <t>ボウフウウ</t>
    </rPh>
    <rPh sb="6" eb="7">
      <t>ヘン</t>
    </rPh>
    <rPh sb="7" eb="8">
      <t>ホウ</t>
    </rPh>
    <rPh sb="8" eb="9">
      <t>テラ</t>
    </rPh>
    <rPh sb="9" eb="10">
      <t>ムラ</t>
    </rPh>
    <rPh sb="11" eb="13">
      <t>ガッコウ</t>
    </rPh>
    <rPh sb="14" eb="16">
      <t>トウカイ</t>
    </rPh>
    <phoneticPr fontId="2"/>
  </si>
  <si>
    <t>野登</t>
    <rPh sb="0" eb="2">
      <t>ノノボリ</t>
    </rPh>
    <phoneticPr fontId="2"/>
  </si>
  <si>
    <t>辺法寺町</t>
    <rPh sb="3" eb="4">
      <t>チョウ</t>
    </rPh>
    <phoneticPr fontId="2"/>
  </si>
  <si>
    <t>知方学校</t>
    <rPh sb="0" eb="1">
      <t>チ</t>
    </rPh>
    <rPh sb="1" eb="2">
      <t>ホウ</t>
    </rPh>
    <rPh sb="2" eb="4">
      <t>ガッコウ</t>
    </rPh>
    <phoneticPr fontId="2"/>
  </si>
  <si>
    <t>学校のあゆみ／野登小学校のれきし</t>
    <phoneticPr fontId="2"/>
  </si>
  <si>
    <t>http://kameyamarekihaku.jp/kodomo/w_e_b/ayumi/page011.html</t>
  </si>
  <si>
    <t>『亀山のあゆみ』
野登小学校沿革史</t>
    <rPh sb="1" eb="3">
      <t>カメヤマ</t>
    </rPh>
    <rPh sb="9" eb="11">
      <t>ノノボ</t>
    </rPh>
    <rPh sb="11" eb="14">
      <t>ショウガッコウ</t>
    </rPh>
    <rPh sb="14" eb="16">
      <t>エンカク</t>
    </rPh>
    <rPh sb="16" eb="17">
      <t>シ</t>
    </rPh>
    <phoneticPr fontId="2"/>
  </si>
  <si>
    <t>能褒野神社創立</t>
    <rPh sb="0" eb="3">
      <t>ノボノ</t>
    </rPh>
    <rPh sb="3" eb="5">
      <t>ジンジャ</t>
    </rPh>
    <rPh sb="5" eb="7">
      <t>ソウリツ</t>
    </rPh>
    <phoneticPr fontId="2"/>
  </si>
  <si>
    <t>能褒野町</t>
    <rPh sb="0" eb="4">
      <t>ノボノチョウ</t>
    </rPh>
    <phoneticPr fontId="2"/>
  </si>
  <si>
    <t>日本の歴史の中の亀山／近代の亀山／亀山の近代文化と日常生活／能褒野古墳の整備と神社</t>
    <rPh sb="30" eb="35">
      <t>ノボノコフン</t>
    </rPh>
    <rPh sb="36" eb="38">
      <t>セイビ</t>
    </rPh>
    <rPh sb="39" eb="41">
      <t>ジンジャ</t>
    </rPh>
    <phoneticPr fontId="2"/>
  </si>
  <si>
    <t>明治19</t>
    <phoneticPr fontId="2"/>
  </si>
  <si>
    <t>ノルマントン号事件がおきる</t>
  </si>
  <si>
    <t>亀山城跡を亀山公園とする</t>
    <rPh sb="0" eb="2">
      <t>カメヤマ</t>
    </rPh>
    <rPh sb="2" eb="4">
      <t>シロアト</t>
    </rPh>
    <rPh sb="5" eb="7">
      <t>カメヤマ</t>
    </rPh>
    <rPh sb="7" eb="9">
      <t>コウエン</t>
    </rPh>
    <phoneticPr fontId="2"/>
  </si>
  <si>
    <t>亀山公園</t>
  </si>
  <si>
    <t>明治20</t>
    <phoneticPr fontId="2"/>
  </si>
  <si>
    <t>滋賀県三重県両県知事に創立願書を出し関西鉄道会社が創立する</t>
    <rPh sb="0" eb="3">
      <t>シガケン</t>
    </rPh>
    <rPh sb="3" eb="6">
      <t>ミエケン</t>
    </rPh>
    <rPh sb="6" eb="8">
      <t>リョウケン</t>
    </rPh>
    <rPh sb="8" eb="10">
      <t>チジ</t>
    </rPh>
    <rPh sb="11" eb="13">
      <t>ソウリツ</t>
    </rPh>
    <rPh sb="13" eb="15">
      <t>ガンショ</t>
    </rPh>
    <rPh sb="16" eb="17">
      <t>ダ</t>
    </rPh>
    <phoneticPr fontId="2"/>
  </si>
  <si>
    <t>日本の歴史の中の亀山／近代の亀山／産業革命の進展とその後の産業／国鉄の町亀山</t>
  </si>
  <si>
    <t>http://kameyamarekihaku.jp/kodomo/w_e_b/rekishi/kindai/sangyokakumei/page002.html</t>
  </si>
  <si>
    <t>第１６回テーマ展示パンフレット『亀山駅開業１１２年鉄道から見た亀山』
『亀山市史』通史　近代現代</t>
    <rPh sb="0" eb="1">
      <t>ダイ</t>
    </rPh>
    <rPh sb="3" eb="4">
      <t>カイ</t>
    </rPh>
    <rPh sb="7" eb="9">
      <t>テンジ</t>
    </rPh>
    <rPh sb="16" eb="18">
      <t>カメヤマ</t>
    </rPh>
    <rPh sb="18" eb="19">
      <t>エキ</t>
    </rPh>
    <rPh sb="19" eb="21">
      <t>カイギョウ</t>
    </rPh>
    <rPh sb="24" eb="25">
      <t>ネン</t>
    </rPh>
    <rPh sb="25" eb="27">
      <t>テツドウ</t>
    </rPh>
    <rPh sb="29" eb="30">
      <t>ミ</t>
    </rPh>
    <rPh sb="31" eb="33">
      <t>カメヤマ</t>
    </rPh>
    <rPh sb="35" eb="48">
      <t>ゲ</t>
    </rPh>
    <phoneticPr fontId="2"/>
  </si>
  <si>
    <t>明治20</t>
    <phoneticPr fontId="2"/>
  </si>
  <si>
    <t>田中音吉が製糸業を開業する、田中製絲場となる</t>
    <rPh sb="0" eb="2">
      <t>タナカ</t>
    </rPh>
    <rPh sb="2" eb="4">
      <t>オトキチ</t>
    </rPh>
    <rPh sb="5" eb="7">
      <t>セイシ</t>
    </rPh>
    <rPh sb="7" eb="8">
      <t>ギョウ</t>
    </rPh>
    <rPh sb="9" eb="11">
      <t>カイギョウ</t>
    </rPh>
    <rPh sb="14" eb="16">
      <t>タナカ</t>
    </rPh>
    <rPh sb="16" eb="17">
      <t>セイ</t>
    </rPh>
    <rPh sb="18" eb="19">
      <t>バ</t>
    </rPh>
    <phoneticPr fontId="2"/>
  </si>
  <si>
    <t>御幸町</t>
    <rPh sb="0" eb="2">
      <t>ミユキ</t>
    </rPh>
    <rPh sb="2" eb="3">
      <t>チョウ</t>
    </rPh>
    <phoneticPr fontId="2"/>
  </si>
  <si>
    <t>田中音吉</t>
    <phoneticPr fontId="2"/>
  </si>
  <si>
    <t>日本の歴史の中の亀山／近代の亀山／産業革命の進展とその後の産業／亀山の製糸場</t>
    <rPh sb="32" eb="34">
      <t>カメヤマ</t>
    </rPh>
    <rPh sb="35" eb="37">
      <t>セイシ</t>
    </rPh>
    <rPh sb="37" eb="38">
      <t>ジョウ</t>
    </rPh>
    <phoneticPr fontId="2"/>
  </si>
  <si>
    <t>http://kameyamarekihaku.jp/kodomo/w_e_b/rekishi/kindai/sangyokakumei/page001.html</t>
  </si>
  <si>
    <t>『亀山のあゆみ』
『亀山市史』通史　近代現代</t>
    <rPh sb="1" eb="3">
      <t>カメヤマ</t>
    </rPh>
    <rPh sb="9" eb="22">
      <t>ゲ</t>
    </rPh>
    <phoneticPr fontId="2"/>
  </si>
  <si>
    <t>明治21</t>
    <phoneticPr fontId="2"/>
  </si>
  <si>
    <t>西冨田村の７３人が関西鉄道安楽川架橋に際し、洪水や堤防決壊が起こるので対策を立てるように三重県知事に歎願する</t>
    <rPh sb="0" eb="3">
      <t>ニシトミダ</t>
    </rPh>
    <rPh sb="3" eb="4">
      <t>ムラ</t>
    </rPh>
    <rPh sb="7" eb="8">
      <t>ニン</t>
    </rPh>
    <rPh sb="9" eb="11">
      <t>カンセイ</t>
    </rPh>
    <rPh sb="11" eb="13">
      <t>テツドウ</t>
    </rPh>
    <rPh sb="13" eb="16">
      <t>アンラクガワ</t>
    </rPh>
    <rPh sb="16" eb="18">
      <t>カキョウ</t>
    </rPh>
    <rPh sb="19" eb="20">
      <t>サイ</t>
    </rPh>
    <rPh sb="22" eb="24">
      <t>コウズイ</t>
    </rPh>
    <rPh sb="25" eb="27">
      <t>テイボウ</t>
    </rPh>
    <rPh sb="27" eb="29">
      <t>ケッカイ</t>
    </rPh>
    <rPh sb="30" eb="31">
      <t>オ</t>
    </rPh>
    <rPh sb="35" eb="37">
      <t>タイサク</t>
    </rPh>
    <rPh sb="38" eb="39">
      <t>タ</t>
    </rPh>
    <rPh sb="44" eb="47">
      <t>ミエケン</t>
    </rPh>
    <rPh sb="47" eb="49">
      <t>チジ</t>
    </rPh>
    <rPh sb="50" eb="52">
      <t>タンガン</t>
    </rPh>
    <phoneticPr fontId="2"/>
  </si>
  <si>
    <t>第１６回テーマ展示パンフレット『亀山駅開業１１２年鉄道から見た亀山』</t>
    <rPh sb="0" eb="1">
      <t>ダイ</t>
    </rPh>
    <rPh sb="3" eb="4">
      <t>カイ</t>
    </rPh>
    <rPh sb="7" eb="9">
      <t>テンジ</t>
    </rPh>
    <rPh sb="16" eb="18">
      <t>カメヤマ</t>
    </rPh>
    <rPh sb="18" eb="19">
      <t>エキ</t>
    </rPh>
    <rPh sb="19" eb="21">
      <t>カイギョウ</t>
    </rPh>
    <rPh sb="24" eb="25">
      <t>ネン</t>
    </rPh>
    <rPh sb="25" eb="27">
      <t>テツドウ</t>
    </rPh>
    <rPh sb="29" eb="30">
      <t>ミ</t>
    </rPh>
    <rPh sb="31" eb="33">
      <t>カメヤマ</t>
    </rPh>
    <phoneticPr fontId="2"/>
  </si>
  <si>
    <t>明治22</t>
    <phoneticPr fontId="2"/>
  </si>
  <si>
    <t>ｋ</t>
    <phoneticPr fontId="2"/>
  </si>
  <si>
    <t>３月関西鉄道会社と海善寺村地主総代が、海善寺村（井田川町）の東海道と関西鉄道の交差地について踏切を設置し道路修繕をする願いを三重県知事に出す
６月古川卯平他２４人が亀山駅設置の請願をする</t>
    <rPh sb="1" eb="2">
      <t>ガツ</t>
    </rPh>
    <rPh sb="2" eb="4">
      <t>カンセイ</t>
    </rPh>
    <rPh sb="4" eb="6">
      <t>テツドウ</t>
    </rPh>
    <rPh sb="6" eb="8">
      <t>カイシャ</t>
    </rPh>
    <rPh sb="9" eb="12">
      <t>カイゼンジ</t>
    </rPh>
    <rPh sb="12" eb="13">
      <t>ムラ</t>
    </rPh>
    <rPh sb="13" eb="15">
      <t>ジヌシ</t>
    </rPh>
    <rPh sb="15" eb="17">
      <t>ソウダイ</t>
    </rPh>
    <rPh sb="19" eb="22">
      <t>カイゼンジ</t>
    </rPh>
    <rPh sb="22" eb="23">
      <t>ムラ</t>
    </rPh>
    <rPh sb="24" eb="27">
      <t>イダガワ</t>
    </rPh>
    <rPh sb="27" eb="28">
      <t>チョウ</t>
    </rPh>
    <rPh sb="30" eb="33">
      <t>トウカイドウ</t>
    </rPh>
    <rPh sb="34" eb="36">
      <t>カンセイ</t>
    </rPh>
    <rPh sb="36" eb="38">
      <t>テツドウ</t>
    </rPh>
    <rPh sb="39" eb="41">
      <t>コウサ</t>
    </rPh>
    <rPh sb="41" eb="42">
      <t>チ</t>
    </rPh>
    <rPh sb="46" eb="48">
      <t>フミキリ</t>
    </rPh>
    <rPh sb="49" eb="51">
      <t>セッチ</t>
    </rPh>
    <rPh sb="52" eb="54">
      <t>ドウロ</t>
    </rPh>
    <rPh sb="54" eb="56">
      <t>シュウゼン</t>
    </rPh>
    <rPh sb="59" eb="60">
      <t>ネガ</t>
    </rPh>
    <rPh sb="62" eb="65">
      <t>ミエケン</t>
    </rPh>
    <rPh sb="65" eb="67">
      <t>チジ</t>
    </rPh>
    <rPh sb="68" eb="69">
      <t>ダ</t>
    </rPh>
    <rPh sb="72" eb="73">
      <t>ガツ</t>
    </rPh>
    <rPh sb="73" eb="75">
      <t>フルカワ</t>
    </rPh>
    <rPh sb="75" eb="77">
      <t>ウヘイ</t>
    </rPh>
    <rPh sb="77" eb="78">
      <t>ホカ</t>
    </rPh>
    <rPh sb="80" eb="81">
      <t>ニン</t>
    </rPh>
    <rPh sb="82" eb="84">
      <t>カメヤマ</t>
    </rPh>
    <rPh sb="84" eb="85">
      <t>エキ</t>
    </rPh>
    <rPh sb="85" eb="87">
      <t>セッチ</t>
    </rPh>
    <rPh sb="88" eb="90">
      <t>セイガン</t>
    </rPh>
    <phoneticPr fontId="2"/>
  </si>
  <si>
    <t>井田川</t>
    <rPh sb="0" eb="3">
      <t>イダガワ</t>
    </rPh>
    <phoneticPr fontId="2"/>
  </si>
  <si>
    <t>古川卯平他２４人</t>
    <rPh sb="0" eb="2">
      <t>フルカワ</t>
    </rPh>
    <rPh sb="2" eb="4">
      <t>ウヘイ</t>
    </rPh>
    <rPh sb="4" eb="5">
      <t>ホカ</t>
    </rPh>
    <rPh sb="7" eb="8">
      <t>ニン</t>
    </rPh>
    <phoneticPr fontId="2"/>
  </si>
  <si>
    <t>市町村制が施行され、現在の市域は亀山町・関町・井田川村・加太村・川崎村・神辺村・坂下村・白川村・野登村・昼生村・槇尾村（鈴鹿郡）、明村（奄芸郡）となる</t>
    <rPh sb="0" eb="3">
      <t>シチョウソン</t>
    </rPh>
    <rPh sb="3" eb="4">
      <t>セイ</t>
    </rPh>
    <rPh sb="5" eb="7">
      <t>シコウ</t>
    </rPh>
    <rPh sb="10" eb="12">
      <t>ゲンザイ</t>
    </rPh>
    <rPh sb="13" eb="15">
      <t>シイキ</t>
    </rPh>
    <rPh sb="16" eb="18">
      <t>カメヤマ</t>
    </rPh>
    <rPh sb="18" eb="19">
      <t>マチ</t>
    </rPh>
    <rPh sb="20" eb="21">
      <t>セキ</t>
    </rPh>
    <rPh sb="21" eb="22">
      <t>マチ</t>
    </rPh>
    <rPh sb="23" eb="26">
      <t>イダガワ</t>
    </rPh>
    <rPh sb="26" eb="27">
      <t>ムラ</t>
    </rPh>
    <rPh sb="28" eb="30">
      <t>カブト</t>
    </rPh>
    <rPh sb="30" eb="31">
      <t>ムラ</t>
    </rPh>
    <rPh sb="32" eb="34">
      <t>カワサキ</t>
    </rPh>
    <rPh sb="34" eb="35">
      <t>ムラ</t>
    </rPh>
    <rPh sb="36" eb="38">
      <t>カンナベ</t>
    </rPh>
    <rPh sb="38" eb="39">
      <t>ムラ</t>
    </rPh>
    <rPh sb="40" eb="42">
      <t>サカシタ</t>
    </rPh>
    <rPh sb="42" eb="43">
      <t>ムラ</t>
    </rPh>
    <rPh sb="44" eb="46">
      <t>シラカワ</t>
    </rPh>
    <rPh sb="46" eb="47">
      <t>ムラ</t>
    </rPh>
    <rPh sb="48" eb="49">
      <t>ノ</t>
    </rPh>
    <rPh sb="49" eb="50">
      <t>ノボル</t>
    </rPh>
    <rPh sb="50" eb="51">
      <t>ムラ</t>
    </rPh>
    <rPh sb="52" eb="53">
      <t>ヒル</t>
    </rPh>
    <rPh sb="53" eb="54">
      <t>ナマ</t>
    </rPh>
    <rPh sb="54" eb="55">
      <t>ムラ</t>
    </rPh>
    <rPh sb="56" eb="58">
      <t>マキオ</t>
    </rPh>
    <rPh sb="58" eb="59">
      <t>ムラ</t>
    </rPh>
    <rPh sb="60" eb="62">
      <t>スズカ</t>
    </rPh>
    <rPh sb="62" eb="63">
      <t>グン</t>
    </rPh>
    <rPh sb="65" eb="66">
      <t>アキラ</t>
    </rPh>
    <rPh sb="66" eb="67">
      <t>ムラ</t>
    </rPh>
    <rPh sb="68" eb="69">
      <t>エン</t>
    </rPh>
    <rPh sb="69" eb="70">
      <t>ゲイ</t>
    </rPh>
    <rPh sb="70" eb="71">
      <t>グン</t>
    </rPh>
    <phoneticPr fontId="2"/>
  </si>
  <si>
    <t>亀山西・亀山東・亀山南・井田川・川崎・野登・白川・神辺・昼生・関・加太</t>
    <rPh sb="0" eb="2">
      <t>カメヤマ</t>
    </rPh>
    <rPh sb="2" eb="3">
      <t>ニシ</t>
    </rPh>
    <rPh sb="4" eb="6">
      <t>カメヤマ</t>
    </rPh>
    <rPh sb="6" eb="7">
      <t>ヒガシ</t>
    </rPh>
    <rPh sb="8" eb="10">
      <t>カメヤマ</t>
    </rPh>
    <rPh sb="10" eb="11">
      <t>ミナミ</t>
    </rPh>
    <rPh sb="12" eb="15">
      <t>イダガワ</t>
    </rPh>
    <rPh sb="28" eb="29">
      <t>ヒル</t>
    </rPh>
    <rPh sb="29" eb="30">
      <t>セイ</t>
    </rPh>
    <rPh sb="33" eb="35">
      <t>カブト</t>
    </rPh>
    <phoneticPr fontId="2"/>
  </si>
  <si>
    <t>日本の歴史の中の亀山／近代の亀山／立憲国家の成立／町村制施行</t>
    <rPh sb="0" eb="2">
      <t>ニホン</t>
    </rPh>
    <rPh sb="25" eb="27">
      <t>チョウソン</t>
    </rPh>
    <rPh sb="27" eb="28">
      <t>セイ</t>
    </rPh>
    <rPh sb="28" eb="30">
      <t>シコウ</t>
    </rPh>
    <phoneticPr fontId="2"/>
  </si>
  <si>
    <t>http://kameyamarekihaku.jp/kodomo/w_e_b/rekishi/kindai/rikkenkokka/page006.html</t>
  </si>
  <si>
    <t>『亀山のあゆみ』
『亀山市史』歴史分野 近代・現代ページ</t>
    <rPh sb="1" eb="3">
      <t>カメヤマ</t>
    </rPh>
    <rPh sb="10" eb="13">
      <t>カメヤマシ</t>
    </rPh>
    <rPh sb="13" eb="14">
      <t>シ</t>
    </rPh>
    <rPh sb="15" eb="17">
      <t>レキシ</t>
    </rPh>
    <rPh sb="17" eb="19">
      <t>ブンヤ</t>
    </rPh>
    <rPh sb="20" eb="22">
      <t>キンダイ</t>
    </rPh>
    <rPh sb="23" eb="25">
      <t>ゲンダイ</t>
    </rPh>
    <phoneticPr fontId="2"/>
  </si>
  <si>
    <t>明治23</t>
    <phoneticPr fontId="2"/>
  </si>
  <si>
    <t>第一回帝国議会が開かれる</t>
  </si>
  <si>
    <t>明治23</t>
    <phoneticPr fontId="2"/>
  </si>
  <si>
    <t>１２月２５日に関西鉄道株式会社による関西鉄道が草津四日市間で全線開通し、亀山駅・関駅が開業する</t>
    <rPh sb="2" eb="3">
      <t>ガツ</t>
    </rPh>
    <rPh sb="5" eb="6">
      <t>ニチ</t>
    </rPh>
    <rPh sb="7" eb="9">
      <t>カンセイ</t>
    </rPh>
    <rPh sb="9" eb="11">
      <t>テツドウ</t>
    </rPh>
    <rPh sb="11" eb="15">
      <t>カブシキガイシャ</t>
    </rPh>
    <rPh sb="18" eb="20">
      <t>カンセイ</t>
    </rPh>
    <rPh sb="20" eb="22">
      <t>テツドウ</t>
    </rPh>
    <rPh sb="23" eb="25">
      <t>クサツ</t>
    </rPh>
    <rPh sb="25" eb="28">
      <t>ヨッカイチ</t>
    </rPh>
    <rPh sb="28" eb="29">
      <t>カン</t>
    </rPh>
    <rPh sb="30" eb="32">
      <t>ゼンセン</t>
    </rPh>
    <rPh sb="32" eb="34">
      <t>カイツウ</t>
    </rPh>
    <rPh sb="36" eb="38">
      <t>カメヤマ</t>
    </rPh>
    <rPh sb="38" eb="39">
      <t>エキ</t>
    </rPh>
    <rPh sb="40" eb="41">
      <t>セキ</t>
    </rPh>
    <rPh sb="41" eb="42">
      <t>エキ</t>
    </rPh>
    <rPh sb="43" eb="45">
      <t>カイギョウ</t>
    </rPh>
    <phoneticPr fontId="2"/>
  </si>
  <si>
    <t>御幸町・関町新所</t>
    <rPh sb="0" eb="3">
      <t>ミユキチョウ</t>
    </rPh>
    <rPh sb="4" eb="6">
      <t>セキチョウ</t>
    </rPh>
    <rPh sb="6" eb="7">
      <t>シン</t>
    </rPh>
    <rPh sb="7" eb="8">
      <t>ショ</t>
    </rPh>
    <phoneticPr fontId="2"/>
  </si>
  <si>
    <t>亀山駅</t>
    <phoneticPr fontId="2"/>
  </si>
  <si>
    <t>初代社長前島密</t>
    <rPh sb="0" eb="2">
      <t>ショダイ</t>
    </rPh>
    <rPh sb="2" eb="4">
      <t>シャチョウ</t>
    </rPh>
    <rPh sb="4" eb="6">
      <t>マエジマ</t>
    </rPh>
    <rPh sb="6" eb="7">
      <t>ヒソカ</t>
    </rPh>
    <phoneticPr fontId="2"/>
  </si>
  <si>
    <t>伊勢新聞マイクロフィルム（三重県立図書館）
亀山駅・関駅</t>
    <rPh sb="0" eb="2">
      <t>イセ</t>
    </rPh>
    <rPh sb="2" eb="4">
      <t>シンブン</t>
    </rPh>
    <rPh sb="13" eb="15">
      <t>ミエ</t>
    </rPh>
    <rPh sb="15" eb="17">
      <t>ケンリツ</t>
    </rPh>
    <rPh sb="17" eb="20">
      <t>トショカン</t>
    </rPh>
    <rPh sb="22" eb="24">
      <t>カメヤマ</t>
    </rPh>
    <rPh sb="24" eb="25">
      <t>エキ</t>
    </rPh>
    <rPh sb="26" eb="27">
      <t>セキ</t>
    </rPh>
    <rPh sb="27" eb="28">
      <t>エキ</t>
    </rPh>
    <phoneticPr fontId="2"/>
  </si>
  <si>
    <t>第１６回テーマ展示パンフレット『亀山駅開業１１２年鉄道から見た亀山』
『亀山市史』通史　近代現代
『亀山市史』歴史分野</t>
    <rPh sb="0" eb="1">
      <t>ダイ</t>
    </rPh>
    <rPh sb="3" eb="4">
      <t>カイ</t>
    </rPh>
    <rPh sb="7" eb="9">
      <t>テンジ</t>
    </rPh>
    <rPh sb="16" eb="18">
      <t>カメヤマ</t>
    </rPh>
    <rPh sb="18" eb="19">
      <t>エキ</t>
    </rPh>
    <rPh sb="19" eb="21">
      <t>カイギョウ</t>
    </rPh>
    <rPh sb="24" eb="25">
      <t>ネン</t>
    </rPh>
    <rPh sb="25" eb="27">
      <t>テツドウ</t>
    </rPh>
    <rPh sb="29" eb="30">
      <t>ミ</t>
    </rPh>
    <rPh sb="31" eb="33">
      <t>カメヤマ</t>
    </rPh>
    <phoneticPr fontId="2"/>
  </si>
  <si>
    <t>関駅</t>
    <phoneticPr fontId="2"/>
  </si>
  <si>
    <t>明治24</t>
    <phoneticPr fontId="2"/>
  </si>
  <si>
    <t>８月関西鉄道亀山・一身田間が開通し、下庄駅が開業する
１１月関西鉄道一身田・津間が開通する</t>
    <rPh sb="1" eb="2">
      <t>ガツ</t>
    </rPh>
    <rPh sb="2" eb="4">
      <t>カンセイ</t>
    </rPh>
    <rPh sb="4" eb="6">
      <t>テツドウ</t>
    </rPh>
    <rPh sb="6" eb="8">
      <t>カメヤマ</t>
    </rPh>
    <rPh sb="9" eb="12">
      <t>イシンデン</t>
    </rPh>
    <rPh sb="12" eb="13">
      <t>カン</t>
    </rPh>
    <rPh sb="14" eb="16">
      <t>カイツウ</t>
    </rPh>
    <rPh sb="18" eb="20">
      <t>シモノショウ</t>
    </rPh>
    <rPh sb="20" eb="21">
      <t>エキ</t>
    </rPh>
    <rPh sb="22" eb="24">
      <t>カイギョウ</t>
    </rPh>
    <rPh sb="29" eb="30">
      <t>ガツ</t>
    </rPh>
    <rPh sb="30" eb="32">
      <t>カンセイ</t>
    </rPh>
    <rPh sb="32" eb="34">
      <t>テツドウ</t>
    </rPh>
    <rPh sb="34" eb="37">
      <t>イシンデン</t>
    </rPh>
    <rPh sb="38" eb="39">
      <t>ツ</t>
    </rPh>
    <rPh sb="39" eb="40">
      <t>カン</t>
    </rPh>
    <rPh sb="41" eb="43">
      <t>カイツウ</t>
    </rPh>
    <phoneticPr fontId="2"/>
  </si>
  <si>
    <t>昼生</t>
    <rPh sb="0" eb="1">
      <t>ヒル</t>
    </rPh>
    <phoneticPr fontId="2"/>
  </si>
  <si>
    <t>下庄町</t>
    <rPh sb="0" eb="1">
      <t>シタ</t>
    </rPh>
    <rPh sb="1" eb="2">
      <t>ショウ</t>
    </rPh>
    <rPh sb="2" eb="3">
      <t>チョウ</t>
    </rPh>
    <phoneticPr fontId="2"/>
  </si>
  <si>
    <t>下庄駅</t>
    <rPh sb="0" eb="1">
      <t>シタ</t>
    </rPh>
    <rPh sb="1" eb="2">
      <t>ショウ</t>
    </rPh>
    <rPh sb="2" eb="3">
      <t>エキ</t>
    </rPh>
    <phoneticPr fontId="2"/>
  </si>
  <si>
    <t>下庄駅</t>
    <rPh sb="0" eb="2">
      <t>シモノショウ</t>
    </rPh>
    <rPh sb="2" eb="3">
      <t>エキ</t>
    </rPh>
    <phoneticPr fontId="2"/>
  </si>
  <si>
    <t>第１６回テーマ展示パンフレット『亀山駅開業１１２年鉄道から見た亀山』
『亀山市史』歴史分野</t>
    <rPh sb="0" eb="1">
      <t>ダイ</t>
    </rPh>
    <rPh sb="3" eb="4">
      <t>カイ</t>
    </rPh>
    <rPh sb="7" eb="9">
      <t>テンジ</t>
    </rPh>
    <rPh sb="16" eb="18">
      <t>カメヤマ</t>
    </rPh>
    <rPh sb="18" eb="19">
      <t>エキ</t>
    </rPh>
    <rPh sb="19" eb="21">
      <t>カイギョウ</t>
    </rPh>
    <rPh sb="24" eb="25">
      <t>ネン</t>
    </rPh>
    <rPh sb="25" eb="27">
      <t>テツドウ</t>
    </rPh>
    <rPh sb="29" eb="30">
      <t>ミ</t>
    </rPh>
    <rPh sb="31" eb="33">
      <t>カメヤマ</t>
    </rPh>
    <phoneticPr fontId="2"/>
  </si>
  <si>
    <t>「関西鉄道案内」
館蔵加藤家文書</t>
    <rPh sb="1" eb="3">
      <t>カンセイ</t>
    </rPh>
    <rPh sb="3" eb="5">
      <t>テツドウ</t>
    </rPh>
    <rPh sb="5" eb="7">
      <t>アンナイ</t>
    </rPh>
    <rPh sb="9" eb="11">
      <t>カンゾウ</t>
    </rPh>
    <rPh sb="11" eb="13">
      <t>カトウ</t>
    </rPh>
    <rPh sb="13" eb="14">
      <t>ケ</t>
    </rPh>
    <rPh sb="14" eb="16">
      <t>モンジョ</t>
    </rPh>
    <phoneticPr fontId="2"/>
  </si>
  <si>
    <t>明治26</t>
    <phoneticPr fontId="2"/>
  </si>
  <si>
    <t>田中音吉が蒸気を利用した機械を製糸場に設置する</t>
    <rPh sb="0" eb="2">
      <t>タナカ</t>
    </rPh>
    <rPh sb="2" eb="4">
      <t>オトキチ</t>
    </rPh>
    <rPh sb="5" eb="7">
      <t>ジョウキ</t>
    </rPh>
    <rPh sb="8" eb="10">
      <t>リヨウ</t>
    </rPh>
    <rPh sb="12" eb="14">
      <t>キカイ</t>
    </rPh>
    <rPh sb="15" eb="18">
      <t>セイシジョウ</t>
    </rPh>
    <rPh sb="19" eb="21">
      <t>セッチ</t>
    </rPh>
    <phoneticPr fontId="2"/>
  </si>
  <si>
    <t>田中音吉</t>
  </si>
  <si>
    <t>田中製絲場（古写真）（内部）</t>
    <rPh sb="0" eb="2">
      <t>タナカ</t>
    </rPh>
    <rPh sb="11" eb="13">
      <t>ナイブ</t>
    </rPh>
    <phoneticPr fontId="2"/>
  </si>
  <si>
    <t>明治27</t>
    <phoneticPr fontId="2"/>
  </si>
  <si>
    <t>領事裁判権の撤廃に成功する</t>
  </si>
  <si>
    <t>日清戦争がおきる(～95)</t>
  </si>
  <si>
    <t>日本の歴史の中の亀山／近代の亀山／日清・日露戦争</t>
    <rPh sb="0" eb="2">
      <t>ニホン</t>
    </rPh>
    <rPh sb="11" eb="13">
      <t>キンダイ</t>
    </rPh>
    <rPh sb="14" eb="16">
      <t>カメヤマ</t>
    </rPh>
    <rPh sb="17" eb="19">
      <t>ニッシン</t>
    </rPh>
    <rPh sb="20" eb="24">
      <t>ニチロセンソウ</t>
    </rPh>
    <phoneticPr fontId="2"/>
  </si>
  <si>
    <t>http://kameyamarekihaku.jp/kodomo/w_e_b/rekishi/kindai/nisshinsensou/index.html</t>
  </si>
  <si>
    <t>明治28</t>
    <phoneticPr fontId="2"/>
  </si>
  <si>
    <t>下関条約が結ばれる</t>
  </si>
  <si>
    <t>『亀山市史』通史　近代現代</t>
    <rPh sb="0" eb="13">
      <t>ツ</t>
    </rPh>
    <phoneticPr fontId="2"/>
  </si>
  <si>
    <t>明治28</t>
    <phoneticPr fontId="2"/>
  </si>
  <si>
    <t>三国干渉がおこなわれる(ロシア・ドイツ・フランス）</t>
  </si>
  <si>
    <t>『亀山市史』通史　近代現代</t>
    <rPh sb="1" eb="4">
      <t>カメヤマシ</t>
    </rPh>
    <rPh sb="4" eb="5">
      <t>シ</t>
    </rPh>
    <rPh sb="6" eb="8">
      <t>ツウシ</t>
    </rPh>
    <rPh sb="9" eb="10">
      <t>キン</t>
    </rPh>
    <rPh sb="10" eb="11">
      <t>ダイ</t>
    </rPh>
    <rPh sb="11" eb="13">
      <t>ゲンダイ</t>
    </rPh>
    <phoneticPr fontId="2"/>
  </si>
  <si>
    <t>明治29</t>
    <phoneticPr fontId="2"/>
  </si>
  <si>
    <t>関西鉄道加太駅が開業する</t>
    <rPh sb="0" eb="2">
      <t>カンセイ</t>
    </rPh>
    <rPh sb="2" eb="4">
      <t>テツドウ</t>
    </rPh>
    <rPh sb="4" eb="6">
      <t>カブト</t>
    </rPh>
    <rPh sb="6" eb="7">
      <t>エキ</t>
    </rPh>
    <rPh sb="8" eb="10">
      <t>カイギョウ</t>
    </rPh>
    <phoneticPr fontId="2"/>
  </si>
  <si>
    <t>加太</t>
    <phoneticPr fontId="2"/>
  </si>
  <si>
    <t>加太駅</t>
    <rPh sb="0" eb="3">
      <t>カブトエキ</t>
    </rPh>
    <phoneticPr fontId="2"/>
  </si>
  <si>
    <t>加太駅</t>
    <rPh sb="0" eb="2">
      <t>カブト</t>
    </rPh>
    <rPh sb="2" eb="3">
      <t>エキ</t>
    </rPh>
    <phoneticPr fontId="2"/>
  </si>
  <si>
    <t>日本の歴史の中の亀山／近代の亀山／産業革命の進展とその後の産業／国鉄の町亀山</t>
    <rPh sb="0" eb="2">
      <t>ニホン</t>
    </rPh>
    <rPh sb="11" eb="13">
      <t>キンダイ</t>
    </rPh>
    <rPh sb="14" eb="17">
      <t>カメヤマ・</t>
    </rPh>
    <rPh sb="17" eb="19">
      <t>サンギョウ</t>
    </rPh>
    <rPh sb="19" eb="21">
      <t>カクメイ</t>
    </rPh>
    <rPh sb="22" eb="24">
      <t>シンテン</t>
    </rPh>
    <rPh sb="27" eb="28">
      <t>ゴ</t>
    </rPh>
    <rPh sb="29" eb="31">
      <t>サンギョウ</t>
    </rPh>
    <rPh sb="32" eb="34">
      <t>コクテツ</t>
    </rPh>
    <rPh sb="35" eb="36">
      <t>マチ</t>
    </rPh>
    <rPh sb="36" eb="38">
      <t>カメヤマ</t>
    </rPh>
    <phoneticPr fontId="2"/>
  </si>
  <si>
    <t>『亀山関町史』下巻年表
『亀山市史』歴史分野</t>
    <rPh sb="1" eb="3">
      <t>カメヤマ</t>
    </rPh>
    <rPh sb="3" eb="6">
      <t>セキチョウシ</t>
    </rPh>
    <rPh sb="7" eb="9">
      <t>ゲカン</t>
    </rPh>
    <rPh sb="9" eb="11">
      <t>ネンピョウ</t>
    </rPh>
    <rPh sb="13" eb="16">
      <t>カメヤマシ</t>
    </rPh>
    <rPh sb="16" eb="17">
      <t>シ</t>
    </rPh>
    <rPh sb="18" eb="20">
      <t>レキシ</t>
    </rPh>
    <rPh sb="20" eb="22">
      <t>ブンヤ</t>
    </rPh>
    <phoneticPr fontId="2"/>
  </si>
  <si>
    <t>足尾銅山鉱毒事件がおきる</t>
  </si>
  <si>
    <t>明治34</t>
    <phoneticPr fontId="2"/>
  </si>
  <si>
    <t>北九州市に八幡製鉄所ができる</t>
  </si>
  <si>
    <t>明治35</t>
    <phoneticPr fontId="2"/>
  </si>
  <si>
    <t>日英同盟がむすばれる</t>
  </si>
  <si>
    <t>明治37</t>
    <phoneticPr fontId="2"/>
  </si>
  <si>
    <t>日露戦争がおきる(～05)</t>
  </si>
  <si>
    <t>明治37</t>
    <phoneticPr fontId="2"/>
  </si>
  <si>
    <t>三重県女子師範学校開校</t>
    <rPh sb="0" eb="3">
      <t>ミエケン</t>
    </rPh>
    <rPh sb="3" eb="5">
      <t>ジョシ</t>
    </rPh>
    <rPh sb="5" eb="7">
      <t>シハン</t>
    </rPh>
    <rPh sb="7" eb="9">
      <t>ガッコウ</t>
    </rPh>
    <rPh sb="9" eb="11">
      <t>カイコウ</t>
    </rPh>
    <phoneticPr fontId="2"/>
  </si>
  <si>
    <t>本町</t>
    <rPh sb="0" eb="2">
      <t>ホンマチ</t>
    </rPh>
    <phoneticPr fontId="2"/>
  </si>
  <si>
    <t>亀山女子師範学校</t>
    <phoneticPr fontId="2"/>
  </si>
  <si>
    <t>亀山女子師範学校（古写真）</t>
    <rPh sb="0" eb="2">
      <t>カメヤマ</t>
    </rPh>
    <rPh sb="2" eb="4">
      <t>ジョシ</t>
    </rPh>
    <rPh sb="4" eb="6">
      <t>シハン</t>
    </rPh>
    <rPh sb="6" eb="8">
      <t>ガッコウ</t>
    </rPh>
    <rPh sb="9" eb="10">
      <t>コ</t>
    </rPh>
    <rPh sb="10" eb="12">
      <t>シャシン</t>
    </rPh>
    <phoneticPr fontId="2"/>
  </si>
  <si>
    <t>『亀山のあゆみ』P.57
『亀山市史』歴史分野</t>
    <rPh sb="1" eb="3">
      <t>カメヤマ</t>
    </rPh>
    <rPh sb="14" eb="17">
      <t>カメヤマシ</t>
    </rPh>
    <rPh sb="17" eb="18">
      <t>シ</t>
    </rPh>
    <rPh sb="19" eb="21">
      <t>レキシ</t>
    </rPh>
    <rPh sb="21" eb="23">
      <t>ブンヤ</t>
    </rPh>
    <phoneticPr fontId="2"/>
  </si>
  <si>
    <r>
      <t>明治3</t>
    </r>
    <r>
      <rPr>
        <sz val="11"/>
        <rFont val="ＭＳ Ｐゴシック"/>
        <family val="3"/>
        <charset val="128"/>
      </rPr>
      <t>8</t>
    </r>
    <phoneticPr fontId="2"/>
  </si>
  <si>
    <t>ポーツマス条約が結ばれる</t>
  </si>
  <si>
    <t>日本の歴史の中の亀山／近代の亀山／日清・日露戦争</t>
    <phoneticPr fontId="2"/>
  </si>
  <si>
    <t>明治38</t>
    <phoneticPr fontId="2"/>
  </si>
  <si>
    <t>私立鐸鳴女学校開校</t>
    <rPh sb="0" eb="2">
      <t>シリツ</t>
    </rPh>
    <rPh sb="2" eb="3">
      <t>オオスズ</t>
    </rPh>
    <rPh sb="3" eb="4">
      <t>ナ</t>
    </rPh>
    <rPh sb="4" eb="7">
      <t>ジョガッコウ</t>
    </rPh>
    <rPh sb="7" eb="9">
      <t>カイコウ</t>
    </rPh>
    <phoneticPr fontId="2"/>
  </si>
  <si>
    <t>東丸町</t>
    <rPh sb="0" eb="1">
      <t>ヒガシ</t>
    </rPh>
    <rPh sb="1" eb="2">
      <t>マル</t>
    </rPh>
    <rPh sb="2" eb="3">
      <t>マチ</t>
    </rPh>
    <phoneticPr fontId="2"/>
  </si>
  <si>
    <t>私立鐸鳴女学校</t>
    <phoneticPr fontId="2"/>
  </si>
  <si>
    <t>明治39</t>
    <phoneticPr fontId="2"/>
  </si>
  <si>
    <t>３月鉄道国有法が公布され、関西鉄道・参宮鉄道他１５鉄道会社が国に買い取られることになる</t>
    <rPh sb="1" eb="2">
      <t>ガツ</t>
    </rPh>
    <rPh sb="2" eb="4">
      <t>テツドウ</t>
    </rPh>
    <rPh sb="4" eb="7">
      <t>コクユウホウ</t>
    </rPh>
    <rPh sb="8" eb="10">
      <t>コウフ</t>
    </rPh>
    <rPh sb="13" eb="15">
      <t>カンセイ</t>
    </rPh>
    <rPh sb="15" eb="17">
      <t>テツドウ</t>
    </rPh>
    <rPh sb="18" eb="20">
      <t>サングウ</t>
    </rPh>
    <rPh sb="20" eb="22">
      <t>テツドウ</t>
    </rPh>
    <rPh sb="22" eb="23">
      <t>ホカ</t>
    </rPh>
    <rPh sb="25" eb="27">
      <t>テツドウ</t>
    </rPh>
    <rPh sb="27" eb="29">
      <t>カイシャ</t>
    </rPh>
    <rPh sb="30" eb="31">
      <t>クニ</t>
    </rPh>
    <rPh sb="32" eb="33">
      <t>カ</t>
    </rPh>
    <rPh sb="34" eb="35">
      <t>ト</t>
    </rPh>
    <phoneticPr fontId="2"/>
  </si>
  <si>
    <t>関西鉄道・参宮鉄道</t>
    <phoneticPr fontId="2"/>
  </si>
  <si>
    <t>日本の歴史の中の亀山／近代の亀山／産業革命の進展とその後の産業／国鉄の町亀山</t>
    <phoneticPr fontId="2"/>
  </si>
  <si>
    <t>川崎村に神職科、教員科からなる私立国学館が開校</t>
    <rPh sb="0" eb="2">
      <t>カワサキ</t>
    </rPh>
    <rPh sb="2" eb="3">
      <t>ムラ</t>
    </rPh>
    <rPh sb="15" eb="17">
      <t>シリツ</t>
    </rPh>
    <rPh sb="17" eb="19">
      <t>コクガク</t>
    </rPh>
    <rPh sb="19" eb="20">
      <t>カン</t>
    </rPh>
    <rPh sb="21" eb="23">
      <t>カイコウ</t>
    </rPh>
    <phoneticPr fontId="2"/>
  </si>
  <si>
    <t>川崎町</t>
    <rPh sb="0" eb="2">
      <t>カワサキ</t>
    </rPh>
    <rPh sb="2" eb="3">
      <t>チョウ</t>
    </rPh>
    <phoneticPr fontId="2"/>
  </si>
  <si>
    <t>私立国学館</t>
    <phoneticPr fontId="2"/>
  </si>
  <si>
    <t>『亀山のあゆみ』P.58年表</t>
    <rPh sb="1" eb="3">
      <t>カメヤマ</t>
    </rPh>
    <rPh sb="12" eb="14">
      <t>ネンピョウ</t>
    </rPh>
    <phoneticPr fontId="2"/>
  </si>
  <si>
    <t>明治40</t>
    <phoneticPr fontId="2"/>
  </si>
  <si>
    <t>義務教育が小学校の4か年から6か年になる</t>
  </si>
  <si>
    <t>４月国が関西鉄道を買い取ることを決定する</t>
    <rPh sb="1" eb="2">
      <t>ガツ</t>
    </rPh>
    <rPh sb="2" eb="3">
      <t>クニ</t>
    </rPh>
    <rPh sb="4" eb="6">
      <t>カンセイ</t>
    </rPh>
    <rPh sb="6" eb="8">
      <t>テツドウ</t>
    </rPh>
    <rPh sb="9" eb="10">
      <t>カ</t>
    </rPh>
    <rPh sb="11" eb="12">
      <t>ト</t>
    </rPh>
    <rPh sb="16" eb="18">
      <t>ケッテイ</t>
    </rPh>
    <phoneticPr fontId="2"/>
  </si>
  <si>
    <t>関西鉄道</t>
    <phoneticPr fontId="2"/>
  </si>
  <si>
    <t>明治41</t>
    <phoneticPr fontId="2"/>
  </si>
  <si>
    <t>１２月鉄道院官制が公布され、亀山駅・関駅・下庄駅は西部鉄道管理局が管理する</t>
    <rPh sb="2" eb="3">
      <t>ガツ</t>
    </rPh>
    <rPh sb="3" eb="6">
      <t>テツドウイン</t>
    </rPh>
    <rPh sb="6" eb="8">
      <t>カンセイ</t>
    </rPh>
    <rPh sb="9" eb="11">
      <t>コウフ</t>
    </rPh>
    <rPh sb="14" eb="16">
      <t>カメヤマ</t>
    </rPh>
    <rPh sb="16" eb="17">
      <t>エキ</t>
    </rPh>
    <rPh sb="18" eb="19">
      <t>セキ</t>
    </rPh>
    <rPh sb="19" eb="20">
      <t>エキ</t>
    </rPh>
    <rPh sb="21" eb="23">
      <t>シモノショウ</t>
    </rPh>
    <rPh sb="23" eb="24">
      <t>エキ</t>
    </rPh>
    <rPh sb="25" eb="27">
      <t>セイブ</t>
    </rPh>
    <rPh sb="27" eb="29">
      <t>テツドウ</t>
    </rPh>
    <rPh sb="29" eb="32">
      <t>カンリキョク</t>
    </rPh>
    <rPh sb="33" eb="35">
      <t>カンリ</t>
    </rPh>
    <phoneticPr fontId="2"/>
  </si>
  <si>
    <t>亀山西・関・昼生</t>
    <rPh sb="0" eb="3">
      <t>カメヤマニシ</t>
    </rPh>
    <rPh sb="4" eb="5">
      <t>セキ</t>
    </rPh>
    <rPh sb="6" eb="7">
      <t>ヒル</t>
    </rPh>
    <rPh sb="7" eb="8">
      <t>セイ</t>
    </rPh>
    <phoneticPr fontId="2"/>
  </si>
  <si>
    <t>御幸町・関町寝所・下庄町</t>
    <rPh sb="0" eb="3">
      <t>ミユキチョウ</t>
    </rPh>
    <rPh sb="4" eb="6">
      <t>セキチョウ</t>
    </rPh>
    <rPh sb="6" eb="8">
      <t>シンジョ</t>
    </rPh>
    <rPh sb="9" eb="12">
      <t>シモノショウチョウ</t>
    </rPh>
    <phoneticPr fontId="2"/>
  </si>
  <si>
    <t>亀山駅・関駅・下庄駅</t>
    <phoneticPr fontId="2"/>
  </si>
  <si>
    <t>槇尾村を亀山町に合併する</t>
    <rPh sb="0" eb="2">
      <t>マキオ</t>
    </rPh>
    <rPh sb="2" eb="3">
      <t>ムラ</t>
    </rPh>
    <rPh sb="4" eb="6">
      <t>カメヤマ</t>
    </rPh>
    <rPh sb="6" eb="7">
      <t>マチ</t>
    </rPh>
    <rPh sb="8" eb="10">
      <t>ガッペイ</t>
    </rPh>
    <phoneticPr fontId="2"/>
  </si>
  <si>
    <t>『亀山のあゆみ』P.55・年表
『亀山市史』歴史分野</t>
    <rPh sb="1" eb="3">
      <t>カメヤマ</t>
    </rPh>
    <rPh sb="13" eb="15">
      <t>ネンピョウ</t>
    </rPh>
    <rPh sb="17" eb="20">
      <t>カメヤマシ</t>
    </rPh>
    <rPh sb="20" eb="21">
      <t>シ</t>
    </rPh>
    <rPh sb="22" eb="24">
      <t>レキシ</t>
    </rPh>
    <rPh sb="24" eb="26">
      <t>ブンヤ</t>
    </rPh>
    <phoneticPr fontId="2"/>
  </si>
  <si>
    <r>
      <t>亀山演武場が本丸町5</t>
    </r>
    <r>
      <rPr>
        <sz val="11"/>
        <rFont val="ＭＳ Ｐゴシック"/>
        <family val="3"/>
        <charset val="128"/>
      </rPr>
      <t>79から本丸町573に再移築</t>
    </r>
    <rPh sb="0" eb="2">
      <t>カメヤマ</t>
    </rPh>
    <rPh sb="2" eb="5">
      <t>エンブジョウ</t>
    </rPh>
    <rPh sb="6" eb="9">
      <t>ホンマルチョウ</t>
    </rPh>
    <rPh sb="14" eb="17">
      <t>ホンマルチョウ</t>
    </rPh>
    <rPh sb="21" eb="22">
      <t>サイ</t>
    </rPh>
    <rPh sb="22" eb="24">
      <t>イチク</t>
    </rPh>
    <phoneticPr fontId="2"/>
  </si>
  <si>
    <t>『亀山演武場要覧』（亀山演武場開場百年記念会）</t>
    <rPh sb="1" eb="3">
      <t>カメヤマ</t>
    </rPh>
    <rPh sb="3" eb="4">
      <t>エン</t>
    </rPh>
    <rPh sb="4" eb="5">
      <t>ブ</t>
    </rPh>
    <rPh sb="5" eb="6">
      <t>ジョウ</t>
    </rPh>
    <rPh sb="6" eb="8">
      <t>ヨウラン</t>
    </rPh>
    <rPh sb="10" eb="12">
      <t>カメヤマ</t>
    </rPh>
    <rPh sb="12" eb="13">
      <t>エン</t>
    </rPh>
    <rPh sb="13" eb="14">
      <t>ブ</t>
    </rPh>
    <rPh sb="14" eb="15">
      <t>ジョウ</t>
    </rPh>
    <rPh sb="15" eb="17">
      <t>カイジョウ</t>
    </rPh>
    <rPh sb="17" eb="19">
      <t>ヒャクネン</t>
    </rPh>
    <rPh sb="19" eb="21">
      <t>キネン</t>
    </rPh>
    <rPh sb="21" eb="22">
      <t>カイ</t>
    </rPh>
    <phoneticPr fontId="2"/>
  </si>
  <si>
    <t>明治42</t>
    <phoneticPr fontId="2"/>
  </si>
  <si>
    <t>亀山町に四日市電灯会社亀山出張所を設置</t>
    <rPh sb="0" eb="2">
      <t>カメヤマ</t>
    </rPh>
    <rPh sb="2" eb="3">
      <t>マチ</t>
    </rPh>
    <rPh sb="4" eb="7">
      <t>ヨッカイチ</t>
    </rPh>
    <rPh sb="7" eb="9">
      <t>デントウ</t>
    </rPh>
    <rPh sb="9" eb="11">
      <t>カイシャ</t>
    </rPh>
    <rPh sb="11" eb="13">
      <t>カメヤマ</t>
    </rPh>
    <rPh sb="13" eb="15">
      <t>シュッチョウ</t>
    </rPh>
    <rPh sb="15" eb="16">
      <t>ショ</t>
    </rPh>
    <rPh sb="17" eb="19">
      <t>セッチ</t>
    </rPh>
    <phoneticPr fontId="2"/>
  </si>
  <si>
    <t>四日市電灯会社亀山出張所</t>
  </si>
  <si>
    <t>日本の歴史の中の亀山／近代の亀山／亀山の近代文化と日常生活／電気の普及</t>
    <rPh sb="30" eb="32">
      <t>デンキ</t>
    </rPh>
    <rPh sb="33" eb="35">
      <t>フキュウ</t>
    </rPh>
    <phoneticPr fontId="2"/>
  </si>
  <si>
    <t>http://kameyamarekihaku.jp/kodomo/w_e_b/rekishi/kindai/kindaibunka/page005.html</t>
  </si>
  <si>
    <t>伊勢新聞（１１／１２付）</t>
    <rPh sb="0" eb="2">
      <t>イセ</t>
    </rPh>
    <rPh sb="2" eb="4">
      <t>シンブン</t>
    </rPh>
    <rPh sb="10" eb="11">
      <t>ツ</t>
    </rPh>
    <phoneticPr fontId="2"/>
  </si>
  <si>
    <r>
      <t>明治4</t>
    </r>
    <r>
      <rPr>
        <sz val="11"/>
        <rFont val="ＭＳ Ｐゴシック"/>
        <family val="3"/>
        <charset val="128"/>
      </rPr>
      <t>2</t>
    </r>
    <phoneticPr fontId="2"/>
  </si>
  <si>
    <t>亀山町に電灯がつく</t>
    <rPh sb="0" eb="3">
      <t>カメヤマチョウ</t>
    </rPh>
    <rPh sb="4" eb="6">
      <t>デントウ</t>
    </rPh>
    <phoneticPr fontId="2"/>
  </si>
  <si>
    <t>日本の歴史の中の亀山／近代の亀山／亀山の近代文化と日常生活／電気の普及</t>
  </si>
  <si>
    <t>『亀山のあゆみ』P.55・年表</t>
    <rPh sb="1" eb="3">
      <t>カメヤマ</t>
    </rPh>
    <phoneticPr fontId="2"/>
  </si>
  <si>
    <t>明治43</t>
    <phoneticPr fontId="2"/>
  </si>
  <si>
    <t>大逆事件がおきる</t>
  </si>
  <si>
    <t>韓国を併合する</t>
  </si>
  <si>
    <t>明治44</t>
    <phoneticPr fontId="2"/>
  </si>
  <si>
    <t>関税自主権を回復する</t>
  </si>
  <si>
    <t>田中音吉による田中製絲場が株式会社組織の亀山製絲株式会社になる</t>
    <rPh sb="0" eb="2">
      <t>タナカ</t>
    </rPh>
    <rPh sb="2" eb="4">
      <t>オトキチ</t>
    </rPh>
    <rPh sb="7" eb="9">
      <t>タナカ</t>
    </rPh>
    <rPh sb="9" eb="10">
      <t>セイ</t>
    </rPh>
    <rPh sb="11" eb="12">
      <t>バ</t>
    </rPh>
    <rPh sb="13" eb="17">
      <t>カブシキガイシャ</t>
    </rPh>
    <rPh sb="17" eb="19">
      <t>ソシキ</t>
    </rPh>
    <rPh sb="20" eb="22">
      <t>カメヤマ</t>
    </rPh>
    <rPh sb="22" eb="23">
      <t>セイ</t>
    </rPh>
    <rPh sb="23" eb="24">
      <t>イト</t>
    </rPh>
    <rPh sb="24" eb="28">
      <t>カブシキガイシャ</t>
    </rPh>
    <phoneticPr fontId="2"/>
  </si>
  <si>
    <t>御幸町</t>
    <rPh sb="0" eb="2">
      <t>ミユキ</t>
    </rPh>
    <rPh sb="2" eb="3">
      <t>マチ</t>
    </rPh>
    <phoneticPr fontId="2"/>
  </si>
  <si>
    <t>亀山製絲株式会社</t>
    <phoneticPr fontId="2"/>
  </si>
  <si>
    <t>『亀山のあゆみ』P.62・年表</t>
    <rPh sb="1" eb="3">
      <t>カメヤマ</t>
    </rPh>
    <rPh sb="13" eb="15">
      <t>ネンピョウ</t>
    </rPh>
    <phoneticPr fontId="2"/>
  </si>
  <si>
    <t>関町に電灯がつく</t>
    <rPh sb="0" eb="2">
      <t>セキチョウ</t>
    </rPh>
    <rPh sb="3" eb="5">
      <t>デントウ</t>
    </rPh>
    <phoneticPr fontId="2"/>
  </si>
  <si>
    <t>伊勢新聞（６／２８付）</t>
    <rPh sb="0" eb="2">
      <t>イセ</t>
    </rPh>
    <rPh sb="2" eb="4">
      <t>シンブン</t>
    </rPh>
    <rPh sb="9" eb="10">
      <t>ツ</t>
    </rPh>
    <phoneticPr fontId="2"/>
  </si>
  <si>
    <t>大正時代</t>
  </si>
  <si>
    <t>明治45／大正元</t>
    <phoneticPr fontId="2"/>
  </si>
  <si>
    <t>南崎に鈴鹿郡立農学校設立</t>
    <rPh sb="0" eb="1">
      <t>ミナミ</t>
    </rPh>
    <rPh sb="3" eb="5">
      <t>スズカ</t>
    </rPh>
    <rPh sb="5" eb="6">
      <t>グン</t>
    </rPh>
    <rPh sb="6" eb="7">
      <t>タ</t>
    </rPh>
    <rPh sb="7" eb="8">
      <t>ノウ</t>
    </rPh>
    <rPh sb="8" eb="10">
      <t>ガッコウ</t>
    </rPh>
    <rPh sb="10" eb="12">
      <t>セツリツ</t>
    </rPh>
    <phoneticPr fontId="2"/>
  </si>
  <si>
    <t>南崎町</t>
    <rPh sb="0" eb="3">
      <t>ミナミザキチョウマチ</t>
    </rPh>
    <phoneticPr fontId="2"/>
  </si>
  <si>
    <t>鈴鹿郡立農学校</t>
    <phoneticPr fontId="2"/>
  </si>
  <si>
    <t>日本の歴史の中の亀山／近代の亀山／産業革命の進展とその後の産業／農業</t>
    <rPh sb="32" eb="34">
      <t>ノウギョウ</t>
    </rPh>
    <phoneticPr fontId="2"/>
  </si>
  <si>
    <t>http://kameyamarekihaku.jp/kodomo/w_e_b/rekishi/kindai/sangyokakumei/page005.html</t>
  </si>
  <si>
    <t>『亀山のあゆみ』P.59
『亀山市史』通史　近代現代</t>
    <rPh sb="1" eb="3">
      <t>カメヤマ</t>
    </rPh>
    <rPh sb="13" eb="26">
      <t>ゲ</t>
    </rPh>
    <phoneticPr fontId="2"/>
  </si>
  <si>
    <t>第一次護憲運動がおこる</t>
  </si>
  <si>
    <t>大正2</t>
    <phoneticPr fontId="2"/>
  </si>
  <si>
    <t>鈴鹿川氾濫、井尻・和田・海善寺・川合で浸水、関西本線不通</t>
    <rPh sb="22" eb="24">
      <t>カンサイ</t>
    </rPh>
    <rPh sb="24" eb="26">
      <t>ホンセン</t>
    </rPh>
    <rPh sb="26" eb="28">
      <t>フツウ</t>
    </rPh>
    <phoneticPr fontId="2"/>
  </si>
  <si>
    <t>『亀山のあゆみ』P.66</t>
    <rPh sb="1" eb="3">
      <t>カメヤマ</t>
    </rPh>
    <phoneticPr fontId="2"/>
  </si>
  <si>
    <t>大正3</t>
    <phoneticPr fontId="2"/>
  </si>
  <si>
    <t>第一次世界大戦に参戦する</t>
  </si>
  <si>
    <t>日本の歴史の中の亀山／近代の亀山／第１次世界大戦と亀山</t>
    <phoneticPr fontId="2"/>
  </si>
  <si>
    <t>http://kameyamarekihaku.jp/kodomo/w_e_b/rekishi/kindai/sekaitaisen1/index.html</t>
  </si>
  <si>
    <t>大正4</t>
    <phoneticPr fontId="2"/>
  </si>
  <si>
    <t>中国に二十一か条の要求を出す</t>
  </si>
  <si>
    <t>大正7</t>
    <phoneticPr fontId="2"/>
  </si>
  <si>
    <t>米騒動がおきる</t>
    <phoneticPr fontId="2"/>
  </si>
  <si>
    <t>日本の歴史の中の亀山／近世の亀山／第一次大戦と亀山／坂下地区の米騒動</t>
    <rPh sb="17" eb="18">
      <t>ダイ</t>
    </rPh>
    <rPh sb="18" eb="20">
      <t>イチジ</t>
    </rPh>
    <rPh sb="20" eb="22">
      <t>タイセン</t>
    </rPh>
    <rPh sb="23" eb="25">
      <t>カメヤマ</t>
    </rPh>
    <rPh sb="26" eb="28">
      <t>サカシタ</t>
    </rPh>
    <rPh sb="28" eb="30">
      <t>チク</t>
    </rPh>
    <rPh sb="31" eb="34">
      <t>コメソウドウ</t>
    </rPh>
    <phoneticPr fontId="2"/>
  </si>
  <si>
    <t>http://kameyamarekihaku.jp/kodomo/w_e_b/rekishi/kindai/sekaitaisen1/page001.html</t>
  </si>
  <si>
    <t>シベリアに出兵する(～22)</t>
  </si>
  <si>
    <t>原敬の政党内閣ができる</t>
  </si>
  <si>
    <t>女性の地位の向上をめざす運動がおこる</t>
  </si>
  <si>
    <t>大正9</t>
    <rPh sb="0" eb="2">
      <t>タイショウ</t>
    </rPh>
    <phoneticPr fontId="2"/>
  </si>
  <si>
    <t>地蔵院愛染堂が国の特別保護建造物に指定される</t>
    <rPh sb="3" eb="5">
      <t>アイゼン</t>
    </rPh>
    <rPh sb="5" eb="6">
      <t>ドウ</t>
    </rPh>
    <rPh sb="9" eb="11">
      <t>トクベツ</t>
    </rPh>
    <rPh sb="11" eb="13">
      <t>ホゴ</t>
    </rPh>
    <rPh sb="13" eb="16">
      <t>ケンゾウブツ</t>
    </rPh>
    <phoneticPr fontId="2"/>
  </si>
  <si>
    <t>地蔵院</t>
    <phoneticPr fontId="2"/>
  </si>
  <si>
    <t>地蔵院愛染堂</t>
  </si>
  <si>
    <t>亀山のいいとこさがし／建物</t>
    <phoneticPr fontId="2"/>
  </si>
  <si>
    <t>『鈴鹿関町史』下巻年表
『亀山市史』歴史分野</t>
    <rPh sb="1" eb="3">
      <t>スズカ</t>
    </rPh>
    <rPh sb="3" eb="6">
      <t>セキチョウシ</t>
    </rPh>
    <rPh sb="7" eb="9">
      <t>ゲカン</t>
    </rPh>
    <rPh sb="9" eb="11">
      <t>ネンピョウ</t>
    </rPh>
    <rPh sb="13" eb="16">
      <t>カメヤマシ</t>
    </rPh>
    <rPh sb="16" eb="17">
      <t>シ</t>
    </rPh>
    <rPh sb="18" eb="20">
      <t>レキシ</t>
    </rPh>
    <rPh sb="20" eb="22">
      <t>ブンヤ</t>
    </rPh>
    <phoneticPr fontId="2"/>
  </si>
  <si>
    <t>亀山のいいとこさがし／景色のよいところや歴史を知る手掛かりとなるもの／関宿のまちなみ／新所のまちなみ／地蔵院本堂・鐘楼・愛染堂</t>
    <phoneticPr fontId="2"/>
  </si>
  <si>
    <t>大正9</t>
    <phoneticPr fontId="2"/>
  </si>
  <si>
    <t>国際連盟に加盟する</t>
  </si>
  <si>
    <t>大正10</t>
    <phoneticPr fontId="2"/>
  </si>
  <si>
    <t>私立鐸鳴女学校を郡立に移管し、鈴鹿高等女学校と改称する</t>
    <rPh sb="0" eb="2">
      <t>シリツ</t>
    </rPh>
    <rPh sb="2" eb="3">
      <t>オオスズ</t>
    </rPh>
    <rPh sb="3" eb="4">
      <t>ナ</t>
    </rPh>
    <rPh sb="4" eb="7">
      <t>ジョガッコウ</t>
    </rPh>
    <rPh sb="8" eb="9">
      <t>グン</t>
    </rPh>
    <rPh sb="9" eb="10">
      <t>タ</t>
    </rPh>
    <rPh sb="11" eb="13">
      <t>イカン</t>
    </rPh>
    <rPh sb="15" eb="17">
      <t>スズカ</t>
    </rPh>
    <rPh sb="17" eb="19">
      <t>コウトウ</t>
    </rPh>
    <rPh sb="19" eb="22">
      <t>ジョガッコウ</t>
    </rPh>
    <rPh sb="23" eb="25">
      <t>カイショウ</t>
    </rPh>
    <phoneticPr fontId="2"/>
  </si>
  <si>
    <t>鈴鹿高等女学校</t>
    <phoneticPr fontId="2"/>
  </si>
  <si>
    <t>『亀山のあゆみ』P.70
『亀山市史』歴史分野</t>
    <rPh sb="1" eb="3">
      <t>カメヤマ</t>
    </rPh>
    <rPh sb="14" eb="17">
      <t>カメヤマシ</t>
    </rPh>
    <rPh sb="17" eb="18">
      <t>シ</t>
    </rPh>
    <rPh sb="19" eb="21">
      <t>レキシ</t>
    </rPh>
    <rPh sb="21" eb="23">
      <t>ブンヤ</t>
    </rPh>
    <phoneticPr fontId="2"/>
  </si>
  <si>
    <t>大正11</t>
    <phoneticPr fontId="2"/>
  </si>
  <si>
    <t>全国水平社の創立宣言が出される</t>
  </si>
  <si>
    <t>志賀直哉『暗夜行路（後編）』連載開始、亀山城跡の情景が描写される</t>
    <rPh sb="0" eb="2">
      <t>シガ</t>
    </rPh>
    <rPh sb="2" eb="4">
      <t>ナオヤ</t>
    </rPh>
    <rPh sb="5" eb="7">
      <t>アンヤ</t>
    </rPh>
    <rPh sb="7" eb="9">
      <t>コウロ</t>
    </rPh>
    <rPh sb="10" eb="12">
      <t>コウヘン</t>
    </rPh>
    <rPh sb="14" eb="16">
      <t>レンサイ</t>
    </rPh>
    <rPh sb="16" eb="18">
      <t>カイシ</t>
    </rPh>
    <rPh sb="19" eb="21">
      <t>カメヤマ</t>
    </rPh>
    <rPh sb="21" eb="23">
      <t>シロアト</t>
    </rPh>
    <rPh sb="24" eb="26">
      <t>ジョウケイ</t>
    </rPh>
    <rPh sb="27" eb="29">
      <t>ビョウシャ</t>
    </rPh>
    <phoneticPr fontId="2"/>
  </si>
  <si>
    <t>亀山城跡</t>
    <phoneticPr fontId="2"/>
  </si>
  <si>
    <t>志賀直哉</t>
    <rPh sb="0" eb="2">
      <t>シガ</t>
    </rPh>
    <rPh sb="2" eb="4">
      <t>ナオヤ</t>
    </rPh>
    <phoneticPr fontId="2"/>
  </si>
  <si>
    <t>大正12</t>
    <phoneticPr fontId="2"/>
  </si>
  <si>
    <t>関東大震災がおきる</t>
  </si>
  <si>
    <t>大正13</t>
    <phoneticPr fontId="2"/>
  </si>
  <si>
    <t>第二次護憲運動がおこる</t>
  </si>
  <si>
    <t>大正14</t>
    <phoneticPr fontId="2"/>
  </si>
  <si>
    <t>治安維持法・男性の普通選挙制度が定められる</t>
  </si>
  <si>
    <t>日本で最初の電話中継所が設置される</t>
    <rPh sb="0" eb="2">
      <t>ニッポン</t>
    </rPh>
    <rPh sb="3" eb="5">
      <t>サイショ</t>
    </rPh>
    <rPh sb="6" eb="8">
      <t>デンワ</t>
    </rPh>
    <rPh sb="8" eb="10">
      <t>チュウケイ</t>
    </rPh>
    <rPh sb="10" eb="11">
      <t>ショ</t>
    </rPh>
    <rPh sb="12" eb="14">
      <t>セッチ</t>
    </rPh>
    <phoneticPr fontId="2"/>
  </si>
  <si>
    <t>亀山西</t>
    <rPh sb="0" eb="1">
      <t>カメ</t>
    </rPh>
    <rPh sb="1" eb="3">
      <t>ヤマニシ</t>
    </rPh>
    <phoneticPr fontId="2"/>
  </si>
  <si>
    <t>江ケ室町</t>
    <rPh sb="0" eb="1">
      <t>エ</t>
    </rPh>
    <rPh sb="2" eb="4">
      <t>ムロチョウ</t>
    </rPh>
    <phoneticPr fontId="2"/>
  </si>
  <si>
    <t>電話中継所</t>
    <phoneticPr fontId="2"/>
  </si>
  <si>
    <t>ローデンやぐら(布気町･田村町）｢亀山電話中継所｣門標逓信博物館所蔵</t>
    <rPh sb="8" eb="11">
      <t>フケチョウ</t>
    </rPh>
    <rPh sb="12" eb="15">
      <t>タムラチョウ</t>
    </rPh>
    <rPh sb="17" eb="19">
      <t>カメヤマ</t>
    </rPh>
    <rPh sb="19" eb="21">
      <t>デンワ</t>
    </rPh>
    <rPh sb="21" eb="23">
      <t>チュウケイ</t>
    </rPh>
    <rPh sb="23" eb="24">
      <t>ショ</t>
    </rPh>
    <rPh sb="25" eb="27">
      <t>モンピョウ</t>
    </rPh>
    <rPh sb="27" eb="29">
      <t>テイシン</t>
    </rPh>
    <rPh sb="29" eb="32">
      <t>ハクブツカン</t>
    </rPh>
    <rPh sb="32" eb="34">
      <t>ショゾウ</t>
    </rPh>
    <phoneticPr fontId="2"/>
  </si>
  <si>
    <t>｢東海の電信電話90年のあゆみ」
『亀山市史』歴史分野</t>
    <rPh sb="1" eb="3">
      <t>トウカイ</t>
    </rPh>
    <rPh sb="4" eb="6">
      <t>デンシン</t>
    </rPh>
    <rPh sb="6" eb="8">
      <t>デンワ</t>
    </rPh>
    <rPh sb="10" eb="11">
      <t>ネン</t>
    </rPh>
    <rPh sb="18" eb="21">
      <t>カメヤマシ</t>
    </rPh>
    <rPh sb="21" eb="22">
      <t>シ</t>
    </rPh>
    <rPh sb="23" eb="25">
      <t>レキシ</t>
    </rPh>
    <rPh sb="25" eb="27">
      <t>ブンヤ</t>
    </rPh>
    <phoneticPr fontId="2"/>
  </si>
  <si>
    <t>日本の歴史の中の亀山／現代の亀山／交通と通信／電話（電報電話局）</t>
    <phoneticPr fontId="2"/>
  </si>
  <si>
    <t>http://kameyamarekihaku.jp/kodomo/w_e_b/rekishi/gendai/koutsu/page006.html</t>
  </si>
  <si>
    <t>大正時代</t>
    <phoneticPr fontId="2"/>
  </si>
  <si>
    <t>大正15</t>
    <rPh sb="0" eb="2">
      <t>タイショウ</t>
    </rPh>
    <phoneticPr fontId="2"/>
  </si>
  <si>
    <t>能褒野保勝会が南崎に能褒野神社一の鳥居を建立</t>
    <rPh sb="0" eb="3">
      <t>ノボノ</t>
    </rPh>
    <rPh sb="3" eb="4">
      <t>タモ</t>
    </rPh>
    <rPh sb="4" eb="5">
      <t>カツ</t>
    </rPh>
    <rPh sb="5" eb="6">
      <t>カイ</t>
    </rPh>
    <rPh sb="7" eb="8">
      <t>ミナミ</t>
    </rPh>
    <rPh sb="8" eb="9">
      <t>サキ</t>
    </rPh>
    <rPh sb="10" eb="13">
      <t>ノボノ</t>
    </rPh>
    <rPh sb="13" eb="15">
      <t>ジンジャ</t>
    </rPh>
    <rPh sb="15" eb="16">
      <t>イチ</t>
    </rPh>
    <rPh sb="17" eb="19">
      <t>トリイ</t>
    </rPh>
    <rPh sb="20" eb="22">
      <t>コンリュウ</t>
    </rPh>
    <phoneticPr fontId="2"/>
  </si>
  <si>
    <t>南崎町</t>
    <rPh sb="0" eb="1">
      <t>ミナミ</t>
    </rPh>
    <rPh sb="1" eb="2">
      <t>ザキ</t>
    </rPh>
    <rPh sb="2" eb="3">
      <t>チョウ</t>
    </rPh>
    <phoneticPr fontId="2"/>
  </si>
  <si>
    <t>能褒野神社一の鳥居</t>
    <phoneticPr fontId="2"/>
  </si>
  <si>
    <t>『亀山のあゆみ』年表
『亀山市史』通史　近代現代</t>
    <rPh sb="1" eb="3">
      <t>カメヤマ</t>
    </rPh>
    <rPh sb="8" eb="10">
      <t>ネンピョウ</t>
    </rPh>
    <rPh sb="11" eb="24">
      <t>ツ</t>
    </rPh>
    <phoneticPr fontId="2"/>
  </si>
  <si>
    <t>鈴鹿郡役所を廃止</t>
    <rPh sb="0" eb="2">
      <t>スズカ</t>
    </rPh>
    <rPh sb="2" eb="3">
      <t>グン</t>
    </rPh>
    <rPh sb="3" eb="5">
      <t>ヤクショ</t>
    </rPh>
    <rPh sb="6" eb="8">
      <t>ハイシ</t>
    </rPh>
    <phoneticPr fontId="2"/>
  </si>
  <si>
    <t>鈴鹿郡役所</t>
    <phoneticPr fontId="2"/>
  </si>
  <si>
    <t>『亀山のあゆみ』年表</t>
    <rPh sb="8" eb="10">
      <t>ネンピョウ</t>
    </rPh>
    <phoneticPr fontId="2"/>
  </si>
  <si>
    <t>鈴関尋常高等小学校跡地を買収し、鈴関劇場を設立する（12月竣工）</t>
    <rPh sb="0" eb="1">
      <t>スズ</t>
    </rPh>
    <rPh sb="1" eb="2">
      <t>セキ</t>
    </rPh>
    <rPh sb="2" eb="4">
      <t>ジンジョウ</t>
    </rPh>
    <rPh sb="4" eb="6">
      <t>コウトウ</t>
    </rPh>
    <rPh sb="6" eb="9">
      <t>ショウガッコウ</t>
    </rPh>
    <rPh sb="9" eb="11">
      <t>アトチ</t>
    </rPh>
    <rPh sb="12" eb="14">
      <t>バイシュウ</t>
    </rPh>
    <rPh sb="16" eb="17">
      <t>スズ</t>
    </rPh>
    <rPh sb="17" eb="18">
      <t>セキ</t>
    </rPh>
    <rPh sb="18" eb="20">
      <t>ゲキジョウ</t>
    </rPh>
    <rPh sb="21" eb="23">
      <t>セツリツ</t>
    </rPh>
    <rPh sb="28" eb="29">
      <t>ガツ</t>
    </rPh>
    <rPh sb="29" eb="31">
      <t>シュンコウ</t>
    </rPh>
    <phoneticPr fontId="2"/>
  </si>
  <si>
    <t>関町木崎</t>
    <rPh sb="0" eb="1">
      <t>セキ</t>
    </rPh>
    <rPh sb="1" eb="2">
      <t>チョウ</t>
    </rPh>
    <rPh sb="2" eb="3">
      <t>キ</t>
    </rPh>
    <rPh sb="3" eb="4">
      <t>サキ</t>
    </rPh>
    <phoneticPr fontId="2"/>
  </si>
  <si>
    <t>鈴関劇場</t>
    <phoneticPr fontId="2"/>
  </si>
  <si>
    <t>日本の歴史の中の亀山／近代の亀山／亀山の近代文化と日常生活／劇場</t>
    <phoneticPr fontId="2"/>
  </si>
  <si>
    <t>http://kameyamarekihaku.jp/kodomo/w_e_b/rekishi/kindai/kindaibunka/page002.html</t>
  </si>
  <si>
    <t>『鈴鹿関町史』下巻年表</t>
    <rPh sb="1" eb="3">
      <t>スズカ</t>
    </rPh>
    <rPh sb="3" eb="4">
      <t>セキ</t>
    </rPh>
    <rPh sb="4" eb="6">
      <t>チョウシ</t>
    </rPh>
    <rPh sb="7" eb="9">
      <t>ゲカン</t>
    </rPh>
    <rPh sb="9" eb="10">
      <t>ネン</t>
    </rPh>
    <rPh sb="10" eb="11">
      <t>ヒョウ</t>
    </rPh>
    <phoneticPr fontId="2"/>
  </si>
  <si>
    <t>昭和元</t>
    <rPh sb="0" eb="2">
      <t>ショウワ</t>
    </rPh>
    <rPh sb="2" eb="3">
      <t>ゲン</t>
    </rPh>
    <phoneticPr fontId="2"/>
  </si>
  <si>
    <t>百五銀行関出張所・四日市銀行関出張所を設置（これまでは派出所）</t>
    <rPh sb="0" eb="2">
      <t>ヒャクゴ</t>
    </rPh>
    <rPh sb="2" eb="4">
      <t>ギンコウ</t>
    </rPh>
    <rPh sb="4" eb="5">
      <t>セキ</t>
    </rPh>
    <rPh sb="5" eb="7">
      <t>シュッチョウ</t>
    </rPh>
    <rPh sb="7" eb="8">
      <t>ショ</t>
    </rPh>
    <rPh sb="9" eb="12">
      <t>ヨッカイチ</t>
    </rPh>
    <rPh sb="12" eb="14">
      <t>ギンコウ</t>
    </rPh>
    <rPh sb="14" eb="15">
      <t>セキ</t>
    </rPh>
    <rPh sb="15" eb="17">
      <t>シュッチョウ</t>
    </rPh>
    <rPh sb="17" eb="18">
      <t>ショ</t>
    </rPh>
    <rPh sb="19" eb="21">
      <t>セッチ</t>
    </rPh>
    <rPh sb="27" eb="29">
      <t>ハシュツ</t>
    </rPh>
    <rPh sb="29" eb="30">
      <t>ジョ</t>
    </rPh>
    <phoneticPr fontId="2"/>
  </si>
  <si>
    <t>百五銀行関出張所・四日市銀行関出張所</t>
    <phoneticPr fontId="2"/>
  </si>
  <si>
    <t>昭和時代</t>
  </si>
  <si>
    <t>昭和2</t>
    <rPh sb="0" eb="2">
      <t>ショウワ</t>
    </rPh>
    <phoneticPr fontId="2"/>
  </si>
  <si>
    <t>谷川兵三郎が、鈴鹿郡井田川村和田（栄町）でローソクを製造する谷川蝋燭製造所を創業した</t>
    <rPh sb="0" eb="2">
      <t>タニガワ</t>
    </rPh>
    <rPh sb="2" eb="5">
      <t>ヒョウザブロウ</t>
    </rPh>
    <rPh sb="7" eb="10">
      <t>スズカグン</t>
    </rPh>
    <rPh sb="10" eb="13">
      <t>イダガワ</t>
    </rPh>
    <rPh sb="13" eb="14">
      <t>ムラ</t>
    </rPh>
    <rPh sb="14" eb="16">
      <t>ワダ</t>
    </rPh>
    <rPh sb="17" eb="19">
      <t>サカエチョウ</t>
    </rPh>
    <rPh sb="26" eb="28">
      <t>セイゾウ</t>
    </rPh>
    <rPh sb="38" eb="40">
      <t>ソウギョウ</t>
    </rPh>
    <phoneticPr fontId="2"/>
  </si>
  <si>
    <t>栄町</t>
    <rPh sb="0" eb="1">
      <t>サカ</t>
    </rPh>
    <rPh sb="1" eb="2">
      <t>マチ</t>
    </rPh>
    <phoneticPr fontId="2"/>
  </si>
  <si>
    <t>谷川蝋燭製造所</t>
    <phoneticPr fontId="2"/>
  </si>
  <si>
    <t>谷川兵三郎</t>
    <phoneticPr fontId="2"/>
  </si>
  <si>
    <t>日本の歴史の中の亀山／近代の亀山／産業革命の進展とその後の産業／ローソク（１）</t>
    <phoneticPr fontId="2"/>
  </si>
  <si>
    <t>http://kameyamarekihaku.jp/kodomo/w_e_b/rekishi/kindai/sangyokakumei/page011.html</t>
  </si>
  <si>
    <t>『カメヤマ株式会社創業８０年史』
『亀山市史』通史　近代現代</t>
    <rPh sb="5" eb="7">
      <t>カブシキ</t>
    </rPh>
    <rPh sb="7" eb="9">
      <t>カイシャ</t>
    </rPh>
    <rPh sb="9" eb="11">
      <t>ソウギョウ</t>
    </rPh>
    <rPh sb="13" eb="14">
      <t>ネン</t>
    </rPh>
    <rPh sb="14" eb="15">
      <t>シ</t>
    </rPh>
    <rPh sb="17" eb="30">
      <t>ツ</t>
    </rPh>
    <phoneticPr fontId="2"/>
  </si>
  <si>
    <t>日本の歴史の中の亀山／現代の亀山／産業／工業／ローソク（２）</t>
    <rPh sb="17" eb="19">
      <t>サンギョウ</t>
    </rPh>
    <rPh sb="20" eb="22">
      <t>コウギョウ</t>
    </rPh>
    <phoneticPr fontId="2"/>
  </si>
  <si>
    <t>http://kameyamarekihaku.jp/kodomo/w_e_b/rekishi/gendai/sangyo/kogyo/page001.html</t>
  </si>
  <si>
    <t>野登郵便局開設</t>
    <rPh sb="0" eb="2">
      <t>ノノボリ</t>
    </rPh>
    <rPh sb="2" eb="5">
      <t>ユウビンキョク</t>
    </rPh>
    <rPh sb="5" eb="7">
      <t>カイセツ</t>
    </rPh>
    <phoneticPr fontId="2"/>
  </si>
  <si>
    <t>野登</t>
    <phoneticPr fontId="2"/>
  </si>
  <si>
    <t>両尾町</t>
    <rPh sb="0" eb="2">
      <t>フタオ</t>
    </rPh>
    <rPh sb="2" eb="3">
      <t>チョウ</t>
    </rPh>
    <phoneticPr fontId="2"/>
  </si>
  <si>
    <t>野登郵便局</t>
  </si>
  <si>
    <t>井岡実業女学校関分校創立（はじめ裁縫塾、翌3年4月1日から井岡洋裁女学校となる、本校は上野）</t>
    <rPh sb="0" eb="2">
      <t>イオカ</t>
    </rPh>
    <rPh sb="2" eb="4">
      <t>ジツギョウ</t>
    </rPh>
    <rPh sb="4" eb="7">
      <t>ジョガッコウ</t>
    </rPh>
    <rPh sb="7" eb="8">
      <t>セキ</t>
    </rPh>
    <rPh sb="8" eb="10">
      <t>ブンコウ</t>
    </rPh>
    <rPh sb="10" eb="12">
      <t>ソウリツ</t>
    </rPh>
    <rPh sb="16" eb="18">
      <t>サイホウ</t>
    </rPh>
    <rPh sb="18" eb="19">
      <t>ジュク</t>
    </rPh>
    <rPh sb="20" eb="21">
      <t>ヨク</t>
    </rPh>
    <rPh sb="22" eb="23">
      <t>ネン</t>
    </rPh>
    <rPh sb="24" eb="25">
      <t>ガツ</t>
    </rPh>
    <rPh sb="26" eb="27">
      <t>ニチ</t>
    </rPh>
    <rPh sb="29" eb="31">
      <t>イオカ</t>
    </rPh>
    <rPh sb="31" eb="33">
      <t>ヨウサイ</t>
    </rPh>
    <rPh sb="33" eb="36">
      <t>ジョガッコウ</t>
    </rPh>
    <phoneticPr fontId="2"/>
  </si>
  <si>
    <t>井岡実業女学校関分校</t>
  </si>
  <si>
    <t>加太郵便取扱所開設（集配は関局受持）</t>
    <rPh sb="0" eb="2">
      <t>カブト</t>
    </rPh>
    <rPh sb="2" eb="4">
      <t>ユウビン</t>
    </rPh>
    <rPh sb="4" eb="6">
      <t>トリアツカイ</t>
    </rPh>
    <rPh sb="6" eb="7">
      <t>ショ</t>
    </rPh>
    <rPh sb="7" eb="9">
      <t>カイセツ</t>
    </rPh>
    <rPh sb="10" eb="12">
      <t>シュウハイ</t>
    </rPh>
    <rPh sb="13" eb="14">
      <t>セキ</t>
    </rPh>
    <rPh sb="14" eb="15">
      <t>キョク</t>
    </rPh>
    <rPh sb="15" eb="16">
      <t>ジュ</t>
    </rPh>
    <rPh sb="16" eb="17">
      <t>ジ</t>
    </rPh>
    <phoneticPr fontId="2"/>
  </si>
  <si>
    <t>加太板屋</t>
    <rPh sb="0" eb="2">
      <t>カブト</t>
    </rPh>
    <rPh sb="2" eb="4">
      <t>イタヤ</t>
    </rPh>
    <phoneticPr fontId="2"/>
  </si>
  <si>
    <t>加太郵便取扱所</t>
    <phoneticPr fontId="2"/>
  </si>
  <si>
    <t>鈴関・白川両尋常高等小学校に青年訓練所を併設</t>
    <rPh sb="0" eb="1">
      <t>スズ</t>
    </rPh>
    <rPh sb="1" eb="2">
      <t>セキ</t>
    </rPh>
    <rPh sb="3" eb="5">
      <t>シラカワ</t>
    </rPh>
    <rPh sb="5" eb="6">
      <t>リョウ</t>
    </rPh>
    <rPh sb="6" eb="8">
      <t>ジンジョウ</t>
    </rPh>
    <rPh sb="8" eb="10">
      <t>コウトウ</t>
    </rPh>
    <rPh sb="10" eb="13">
      <t>ショウガッコウ</t>
    </rPh>
    <rPh sb="14" eb="16">
      <t>セイネン</t>
    </rPh>
    <rPh sb="16" eb="18">
      <t>クンレン</t>
    </rPh>
    <rPh sb="18" eb="19">
      <t>ジョ</t>
    </rPh>
    <rPh sb="20" eb="22">
      <t>ヘイセツ</t>
    </rPh>
    <phoneticPr fontId="2"/>
  </si>
  <si>
    <t>関</t>
    <phoneticPr fontId="2"/>
  </si>
  <si>
    <t>関町木崎・白木町</t>
    <rPh sb="0" eb="1">
      <t>セキ</t>
    </rPh>
    <rPh sb="1" eb="2">
      <t>チョウ</t>
    </rPh>
    <rPh sb="2" eb="3">
      <t>キ</t>
    </rPh>
    <rPh sb="3" eb="4">
      <t>サキ</t>
    </rPh>
    <rPh sb="5" eb="8">
      <t>シラキチョウ</t>
    </rPh>
    <phoneticPr fontId="2"/>
  </si>
  <si>
    <t>青年訓練所</t>
    <phoneticPr fontId="2"/>
  </si>
  <si>
    <t>鈴関劇場を末広座と呼称する</t>
    <rPh sb="0" eb="1">
      <t>スズ</t>
    </rPh>
    <rPh sb="1" eb="2">
      <t>セキ</t>
    </rPh>
    <rPh sb="2" eb="4">
      <t>ゲキジョウ</t>
    </rPh>
    <rPh sb="5" eb="7">
      <t>スエヒロ</t>
    </rPh>
    <rPh sb="7" eb="8">
      <t>ザ</t>
    </rPh>
    <rPh sb="9" eb="11">
      <t>コショウ</t>
    </rPh>
    <phoneticPr fontId="2"/>
  </si>
  <si>
    <t>末広座</t>
    <phoneticPr fontId="2"/>
  </si>
  <si>
    <t>末広座設計図</t>
    <rPh sb="0" eb="2">
      <t>スエヒロ</t>
    </rPh>
    <rPh sb="2" eb="3">
      <t>ザ</t>
    </rPh>
    <rPh sb="3" eb="6">
      <t>セッケイズ</t>
    </rPh>
    <phoneticPr fontId="2"/>
  </si>
  <si>
    <t>日本の歴史の中の亀山／近代の亀山／亀山の近代文化と日常生活／劇場</t>
    <rPh sb="30" eb="32">
      <t>ゲキジョウ</t>
    </rPh>
    <phoneticPr fontId="2"/>
  </si>
  <si>
    <t>久我農家組合設立</t>
    <rPh sb="0" eb="2">
      <t>クガ</t>
    </rPh>
    <rPh sb="2" eb="4">
      <t>ノウカ</t>
    </rPh>
    <rPh sb="4" eb="6">
      <t>クミアイ</t>
    </rPh>
    <rPh sb="6" eb="8">
      <t>セツリツ</t>
    </rPh>
    <phoneticPr fontId="2"/>
  </si>
  <si>
    <t>久我農家組合</t>
  </si>
  <si>
    <t>この年、関に人力車４輌見える</t>
    <rPh sb="2" eb="3">
      <t>トシ</t>
    </rPh>
    <rPh sb="4" eb="5">
      <t>セキ</t>
    </rPh>
    <rPh sb="6" eb="9">
      <t>ジンリキシャ</t>
    </rPh>
    <rPh sb="10" eb="11">
      <t>リョウ</t>
    </rPh>
    <rPh sb="11" eb="12">
      <t>ミ</t>
    </rPh>
    <phoneticPr fontId="2"/>
  </si>
  <si>
    <t>昭和3</t>
    <rPh sb="0" eb="2">
      <t>ショウワ</t>
    </rPh>
    <phoneticPr fontId="2"/>
  </si>
  <si>
    <t>昼生郵便局開設</t>
    <rPh sb="0" eb="2">
      <t>ヒルオ</t>
    </rPh>
    <rPh sb="2" eb="5">
      <t>ユウビンキョク</t>
    </rPh>
    <rPh sb="5" eb="7">
      <t>カイセツ</t>
    </rPh>
    <phoneticPr fontId="2"/>
  </si>
  <si>
    <t>昼生</t>
    <phoneticPr fontId="2"/>
  </si>
  <si>
    <t>中庄町</t>
    <rPh sb="0" eb="3">
      <t>ナカノショウチョウ</t>
    </rPh>
    <phoneticPr fontId="2"/>
  </si>
  <si>
    <t>昼生郵便局</t>
    <phoneticPr fontId="2"/>
  </si>
  <si>
    <t>小裏・南裏・明神・新所・木崎の各農家組合設立</t>
    <rPh sb="0" eb="1">
      <t>ショウ</t>
    </rPh>
    <rPh sb="1" eb="2">
      <t>ウラ</t>
    </rPh>
    <rPh sb="3" eb="4">
      <t>ミナミ</t>
    </rPh>
    <rPh sb="4" eb="5">
      <t>ウラ</t>
    </rPh>
    <rPh sb="6" eb="8">
      <t>ミョウジン</t>
    </rPh>
    <rPh sb="9" eb="10">
      <t>シン</t>
    </rPh>
    <rPh sb="10" eb="11">
      <t>ショ</t>
    </rPh>
    <rPh sb="12" eb="13">
      <t>キ</t>
    </rPh>
    <rPh sb="13" eb="14">
      <t>サキ</t>
    </rPh>
    <rPh sb="15" eb="18">
      <t>カクノウカ</t>
    </rPh>
    <rPh sb="18" eb="20">
      <t>クミアイ</t>
    </rPh>
    <rPh sb="20" eb="22">
      <t>セツリツ</t>
    </rPh>
    <phoneticPr fontId="2"/>
  </si>
  <si>
    <t>昭和4</t>
  </si>
  <si>
    <t>世界中が不景気になる</t>
    <rPh sb="2" eb="3">
      <t>チュウ</t>
    </rPh>
    <phoneticPr fontId="2"/>
  </si>
  <si>
    <t>日本の歴史の中の亀山／近代の亀山／世界恐慌と亀山地域</t>
    <rPh sb="0" eb="2">
      <t>ニホン</t>
    </rPh>
    <rPh sb="11" eb="13">
      <t>キンダイ</t>
    </rPh>
    <rPh sb="14" eb="17">
      <t>カメヤマ・</t>
    </rPh>
    <rPh sb="17" eb="19">
      <t>セカイ</t>
    </rPh>
    <rPh sb="19" eb="21">
      <t>キョウコウ</t>
    </rPh>
    <rPh sb="22" eb="24">
      <t>カメヤマ</t>
    </rPh>
    <rPh sb="24" eb="26">
      <t>チイキ</t>
    </rPh>
    <phoneticPr fontId="2"/>
  </si>
  <si>
    <t>http://kameyamarekihaku.jp/kodomo/w_e_b/rekishi/kindai/sekaikyoko/index.html</t>
  </si>
  <si>
    <t>政党政治が行きづまリ,軍人が力をもつようになる</t>
  </si>
  <si>
    <t>亀山町立幼稚園設立</t>
    <rPh sb="0" eb="2">
      <t>カメヤマ</t>
    </rPh>
    <rPh sb="2" eb="4">
      <t>チョウリツ</t>
    </rPh>
    <rPh sb="4" eb="7">
      <t>ヨウチエン</t>
    </rPh>
    <rPh sb="7" eb="9">
      <t>セツリツ</t>
    </rPh>
    <phoneticPr fontId="2"/>
  </si>
  <si>
    <t>亀山町立幼稚園</t>
    <phoneticPr fontId="2"/>
  </si>
  <si>
    <t>記念絵葉書・記念猪口</t>
    <rPh sb="0" eb="2">
      <t>キネン</t>
    </rPh>
    <rPh sb="2" eb="5">
      <t>エハガキ</t>
    </rPh>
    <rPh sb="6" eb="8">
      <t>キネン</t>
    </rPh>
    <rPh sb="8" eb="10">
      <t>チョコ</t>
    </rPh>
    <phoneticPr fontId="2"/>
  </si>
  <si>
    <t>日本の歴史の中の亀山／現代の亀山／教育と医療・福祉／幼稚園</t>
    <rPh sb="17" eb="19">
      <t>キョウイク</t>
    </rPh>
    <rPh sb="20" eb="22">
      <t>イリョウ</t>
    </rPh>
    <rPh sb="23" eb="25">
      <t>フクシ</t>
    </rPh>
    <rPh sb="26" eb="29">
      <t>ヨウチエン</t>
    </rPh>
    <phoneticPr fontId="2"/>
  </si>
  <si>
    <t>http://kameyamarekihaku.jp/kodomo/w_e_b/rekishi/gendai/kyoiku/page003.html</t>
  </si>
  <si>
    <t>『亀山のあゆみ』P.83・P.386・年表
歴博企画展web図録　銘文から見た亀山市の歴史</t>
    <rPh sb="19" eb="21">
      <t>ネンピョウ</t>
    </rPh>
    <rPh sb="22" eb="23">
      <t>レキ</t>
    </rPh>
    <rPh sb="23" eb="24">
      <t>ハク</t>
    </rPh>
    <phoneticPr fontId="2"/>
  </si>
  <si>
    <t>京口坂開通</t>
    <rPh sb="0" eb="2">
      <t>キョウグチ</t>
    </rPh>
    <rPh sb="2" eb="3">
      <t>サカ</t>
    </rPh>
    <rPh sb="3" eb="5">
      <t>カイツウ</t>
    </rPh>
    <phoneticPr fontId="2"/>
  </si>
  <si>
    <t>京口坂</t>
    <rPh sb="0" eb="2">
      <t>キョウグチ</t>
    </rPh>
    <rPh sb="2" eb="3">
      <t>サカ</t>
    </rPh>
    <phoneticPr fontId="2"/>
  </si>
  <si>
    <t>記念絵葉書・記念猪口</t>
  </si>
  <si>
    <t>歴博企画展web図録　銘文から見た亀山市の歴史
『亀山市史』歴史分野</t>
    <rPh sb="0" eb="1">
      <t>レキ</t>
    </rPh>
    <rPh sb="1" eb="2">
      <t>ハク</t>
    </rPh>
    <rPh sb="2" eb="5">
      <t>キカクテン</t>
    </rPh>
    <rPh sb="11" eb="13">
      <t>メイブン</t>
    </rPh>
    <rPh sb="15" eb="16">
      <t>ミ</t>
    </rPh>
    <rPh sb="17" eb="20">
      <t>カメヤマシ</t>
    </rPh>
    <rPh sb="21" eb="23">
      <t>レキシ</t>
    </rPh>
    <rPh sb="25" eb="28">
      <t>カメヤマシ</t>
    </rPh>
    <rPh sb="28" eb="29">
      <t>シ</t>
    </rPh>
    <rPh sb="30" eb="32">
      <t>レキシ</t>
    </rPh>
    <rPh sb="32" eb="34">
      <t>ブンヤ</t>
    </rPh>
    <phoneticPr fontId="2"/>
  </si>
  <si>
    <t>亀山無線電信局開設</t>
    <rPh sb="0" eb="2">
      <t>カメヤマ</t>
    </rPh>
    <rPh sb="2" eb="4">
      <t>ムセン</t>
    </rPh>
    <rPh sb="4" eb="6">
      <t>デンシン</t>
    </rPh>
    <rPh sb="6" eb="7">
      <t>キョク</t>
    </rPh>
    <rPh sb="7" eb="9">
      <t>カイセツ</t>
    </rPh>
    <phoneticPr fontId="2"/>
  </si>
  <si>
    <t>亀田町</t>
    <rPh sb="0" eb="3">
      <t>カメダチョウ</t>
    </rPh>
    <phoneticPr fontId="2"/>
  </si>
  <si>
    <t>亀山無線電信局</t>
    <phoneticPr fontId="2"/>
  </si>
  <si>
    <t>鈴鹿郡立農学校、県立河原田農学校に併合</t>
    <rPh sb="8" eb="10">
      <t>ケンリツ</t>
    </rPh>
    <rPh sb="10" eb="13">
      <t>カワラダ</t>
    </rPh>
    <rPh sb="13" eb="14">
      <t>ノウ</t>
    </rPh>
    <rPh sb="14" eb="16">
      <t>ガッコウ</t>
    </rPh>
    <rPh sb="17" eb="19">
      <t>ヘイゴウ</t>
    </rPh>
    <phoneticPr fontId="2"/>
  </si>
  <si>
    <t>鈴鹿郡立農学校</t>
  </si>
  <si>
    <t>昭和5</t>
  </si>
  <si>
    <t>私立亀山公民学校開校</t>
    <rPh sb="0" eb="2">
      <t>シリツ</t>
    </rPh>
    <rPh sb="2" eb="4">
      <t>カメヤマ</t>
    </rPh>
    <rPh sb="4" eb="6">
      <t>コウミン</t>
    </rPh>
    <rPh sb="6" eb="8">
      <t>ガッコウ</t>
    </rPh>
    <rPh sb="8" eb="10">
      <t>カイコウ</t>
    </rPh>
    <phoneticPr fontId="2"/>
  </si>
  <si>
    <t>私立亀山公民学校</t>
  </si>
  <si>
    <t>『亀山のあゆみ』P.83・P386・年表</t>
    <rPh sb="18" eb="20">
      <t>ネンピョウ</t>
    </rPh>
    <phoneticPr fontId="2"/>
  </si>
  <si>
    <t>井田川駅開業</t>
    <rPh sb="4" eb="6">
      <t>カイギョウ</t>
    </rPh>
    <phoneticPr fontId="2"/>
  </si>
  <si>
    <t>井田川町</t>
  </si>
  <si>
    <t>井田川駅</t>
  </si>
  <si>
    <t>『亀山のあゆみ』P.72・年表
『亀山市史』歴史分野</t>
    <rPh sb="13" eb="15">
      <t>ネンピョウ</t>
    </rPh>
    <rPh sb="17" eb="20">
      <t>カメヤマシ</t>
    </rPh>
    <rPh sb="20" eb="21">
      <t>シ</t>
    </rPh>
    <rPh sb="22" eb="24">
      <t>レキシ</t>
    </rPh>
    <rPh sb="24" eb="26">
      <t>ブンヤ</t>
    </rPh>
    <phoneticPr fontId="2"/>
  </si>
  <si>
    <t>東町(現在の北町）に亀山測候所設置</t>
    <rPh sb="0" eb="2">
      <t>ヒガシマチ</t>
    </rPh>
    <rPh sb="3" eb="5">
      <t>ゲンザイ</t>
    </rPh>
    <rPh sb="6" eb="8">
      <t>キタマチ</t>
    </rPh>
    <rPh sb="10" eb="12">
      <t>カメヤマ</t>
    </rPh>
    <rPh sb="12" eb="14">
      <t>ソッコウ</t>
    </rPh>
    <rPh sb="14" eb="15">
      <t>ショ</t>
    </rPh>
    <rPh sb="15" eb="17">
      <t>セッチ</t>
    </rPh>
    <phoneticPr fontId="2"/>
  </si>
  <si>
    <t>北町</t>
    <rPh sb="0" eb="2">
      <t>キタマチマチ</t>
    </rPh>
    <phoneticPr fontId="2"/>
  </si>
  <si>
    <t>亀山測候所</t>
    <phoneticPr fontId="2"/>
  </si>
  <si>
    <t>日本の歴史の中の亀山／近代の亀山／第一次世界大戦と亀山／気象の観測</t>
    <rPh sb="28" eb="30">
      <t>キショウ</t>
    </rPh>
    <rPh sb="31" eb="33">
      <t>カンソク</t>
    </rPh>
    <phoneticPr fontId="2"/>
  </si>
  <si>
    <t>http://kameyamarekihaku.jp/kodomo/w_e_b/rekishi/kindai/sekaitaisen1/page003.html</t>
  </si>
  <si>
    <t>『亀山のあゆみ』P.72・年表
『亀山市史』歴史分野
『亀山市史』歴史分野</t>
    <rPh sb="13" eb="15">
      <t>ネンピョウ</t>
    </rPh>
    <rPh sb="17" eb="20">
      <t>カメヤマシ</t>
    </rPh>
    <rPh sb="20" eb="21">
      <t>シ</t>
    </rPh>
    <rPh sb="22" eb="24">
      <t>レキシ</t>
    </rPh>
    <rPh sb="24" eb="26">
      <t>ブンヤ</t>
    </rPh>
    <rPh sb="28" eb="31">
      <t>カメヤマシ</t>
    </rPh>
    <rPh sb="31" eb="32">
      <t>シ</t>
    </rPh>
    <rPh sb="33" eb="35">
      <t>レキシ</t>
    </rPh>
    <rPh sb="35" eb="37">
      <t>ブンヤ</t>
    </rPh>
    <phoneticPr fontId="2"/>
  </si>
  <si>
    <t>越川・金場の加太小学校4年生以上の学童が鈴関小学校に委託</t>
    <rPh sb="0" eb="2">
      <t>エチガワ</t>
    </rPh>
    <rPh sb="3" eb="4">
      <t>カナ</t>
    </rPh>
    <rPh sb="4" eb="5">
      <t>バ</t>
    </rPh>
    <rPh sb="6" eb="8">
      <t>カブト</t>
    </rPh>
    <rPh sb="8" eb="11">
      <t>ショウガッコウ</t>
    </rPh>
    <rPh sb="12" eb="14">
      <t>ネンセイ</t>
    </rPh>
    <rPh sb="14" eb="16">
      <t>イジョウ</t>
    </rPh>
    <rPh sb="17" eb="18">
      <t>ガク</t>
    </rPh>
    <rPh sb="18" eb="19">
      <t>ワラベ</t>
    </rPh>
    <rPh sb="20" eb="21">
      <t>スズ</t>
    </rPh>
    <rPh sb="21" eb="22">
      <t>セキ</t>
    </rPh>
    <rPh sb="22" eb="25">
      <t>ショウガッコウ</t>
    </rPh>
    <rPh sb="26" eb="28">
      <t>イタク</t>
    </rPh>
    <phoneticPr fontId="2"/>
  </si>
  <si>
    <t>関町木崎</t>
    <rPh sb="0" eb="1">
      <t>セキ</t>
    </rPh>
    <rPh sb="1" eb="2">
      <t>チョウ</t>
    </rPh>
    <rPh sb="2" eb="4">
      <t>キサキ</t>
    </rPh>
    <phoneticPr fontId="2"/>
  </si>
  <si>
    <t>鈴関小学校</t>
    <phoneticPr fontId="2"/>
  </si>
  <si>
    <t>学校のあゆみ／加太小学校のれきし</t>
    <rPh sb="0" eb="2">
      <t>ガッコウ</t>
    </rPh>
    <rPh sb="7" eb="9">
      <t>カブト</t>
    </rPh>
    <rPh sb="9" eb="12">
      <t>ショウガッコウ</t>
    </rPh>
    <phoneticPr fontId="2"/>
  </si>
  <si>
    <t>http://kameyamarekihaku.jp/kodomo/w_e_b/ayumi/page008.html</t>
  </si>
  <si>
    <t>『鈴鹿関町史』下巻年表
『亀山市史』歴史分野</t>
    <rPh sb="1" eb="3">
      <t>スズカ</t>
    </rPh>
    <rPh sb="3" eb="4">
      <t>セキ</t>
    </rPh>
    <rPh sb="4" eb="6">
      <t>チョウシ</t>
    </rPh>
    <rPh sb="7" eb="9">
      <t>ゲカン</t>
    </rPh>
    <rPh sb="9" eb="10">
      <t>ネン</t>
    </rPh>
    <rPh sb="10" eb="11">
      <t>ヒョウ</t>
    </rPh>
    <rPh sb="13" eb="16">
      <t>カメヤマシ</t>
    </rPh>
    <rPh sb="16" eb="17">
      <t>シ</t>
    </rPh>
    <rPh sb="18" eb="20">
      <t>レキシ</t>
    </rPh>
    <rPh sb="20" eb="22">
      <t>ブンヤ</t>
    </rPh>
    <phoneticPr fontId="2"/>
  </si>
  <si>
    <t>伊勢神宮宇治橋一の鳥居並びに銅版410平方尺下付される</t>
    <rPh sb="0" eb="2">
      <t>イセ</t>
    </rPh>
    <rPh sb="2" eb="4">
      <t>ジングウ</t>
    </rPh>
    <rPh sb="4" eb="6">
      <t>ウジ</t>
    </rPh>
    <rPh sb="6" eb="7">
      <t>ハシ</t>
    </rPh>
    <rPh sb="7" eb="8">
      <t>イチ</t>
    </rPh>
    <rPh sb="9" eb="11">
      <t>トリイ</t>
    </rPh>
    <rPh sb="11" eb="12">
      <t>ナラ</t>
    </rPh>
    <rPh sb="14" eb="16">
      <t>ドウバン</t>
    </rPh>
    <rPh sb="19" eb="21">
      <t>ヘイホウ</t>
    </rPh>
    <rPh sb="21" eb="22">
      <t>シャク</t>
    </rPh>
    <rPh sb="22" eb="23">
      <t>シタ</t>
    </rPh>
    <rPh sb="23" eb="24">
      <t>ツ</t>
    </rPh>
    <phoneticPr fontId="2"/>
  </si>
  <si>
    <t>伊勢神宮宇治橋一の鳥居</t>
    <phoneticPr fontId="2"/>
  </si>
  <si>
    <t>木崎追分道の大鳥居建設の奉曳式（お木曳）挙行　8月20日</t>
    <rPh sb="0" eb="1">
      <t>キ</t>
    </rPh>
    <rPh sb="2" eb="4">
      <t>オイワケ</t>
    </rPh>
    <rPh sb="4" eb="5">
      <t>ミチ</t>
    </rPh>
    <rPh sb="6" eb="7">
      <t>オオ</t>
    </rPh>
    <rPh sb="7" eb="9">
      <t>トリイ</t>
    </rPh>
    <rPh sb="9" eb="11">
      <t>ケンセツ</t>
    </rPh>
    <rPh sb="12" eb="13">
      <t>タテマツ</t>
    </rPh>
    <rPh sb="13" eb="14">
      <t>ヒ</t>
    </rPh>
    <rPh sb="14" eb="15">
      <t>シキ</t>
    </rPh>
    <rPh sb="17" eb="18">
      <t>キ</t>
    </rPh>
    <rPh sb="18" eb="19">
      <t>ヒキ</t>
    </rPh>
    <rPh sb="20" eb="22">
      <t>キョコウ</t>
    </rPh>
    <rPh sb="24" eb="25">
      <t>ガツ</t>
    </rPh>
    <rPh sb="27" eb="28">
      <t>ニチ</t>
    </rPh>
    <phoneticPr fontId="2"/>
  </si>
  <si>
    <t>日本の歴史の中の亀山／近代の亀山／亀山の近代文化と日常生活／関のお木曳き</t>
    <rPh sb="30" eb="31">
      <t>セキ</t>
    </rPh>
    <rPh sb="33" eb="34">
      <t>キ</t>
    </rPh>
    <rPh sb="34" eb="35">
      <t>ヒキ</t>
    </rPh>
    <phoneticPr fontId="2"/>
  </si>
  <si>
    <t>http://kameyamarekihaku.jp/kodomo/w_e_b/rekishi/kindai/kindaibunka/page003.html</t>
  </si>
  <si>
    <t>関合同魚青物市場設立</t>
    <rPh sb="0" eb="1">
      <t>セキ</t>
    </rPh>
    <rPh sb="1" eb="3">
      <t>ゴウドウ</t>
    </rPh>
    <rPh sb="3" eb="4">
      <t>サカナ</t>
    </rPh>
    <rPh sb="4" eb="6">
      <t>アオモノ</t>
    </rPh>
    <rPh sb="6" eb="8">
      <t>イチバ</t>
    </rPh>
    <rPh sb="8" eb="10">
      <t>セツリツ</t>
    </rPh>
    <phoneticPr fontId="2"/>
  </si>
  <si>
    <t>関合同魚青物市場</t>
  </si>
  <si>
    <r>
      <t>木崎追分道大鳥居竣工祭　12月2</t>
    </r>
    <r>
      <rPr>
        <sz val="11"/>
        <rFont val="ＭＳ Ｐゴシック"/>
        <family val="3"/>
        <charset val="128"/>
      </rPr>
      <t>3</t>
    </r>
    <r>
      <rPr>
        <sz val="11"/>
        <rFont val="ＭＳ Ｐゴシック"/>
        <family val="3"/>
        <charset val="128"/>
      </rPr>
      <t>日</t>
    </r>
    <rPh sb="0" eb="1">
      <t>キ</t>
    </rPh>
    <rPh sb="2" eb="4">
      <t>オイワケ</t>
    </rPh>
    <rPh sb="4" eb="5">
      <t>ミチ</t>
    </rPh>
    <rPh sb="5" eb="6">
      <t>オオ</t>
    </rPh>
    <rPh sb="6" eb="8">
      <t>トリイ</t>
    </rPh>
    <rPh sb="8" eb="10">
      <t>シュンコウ</t>
    </rPh>
    <rPh sb="10" eb="11">
      <t>サイ</t>
    </rPh>
    <rPh sb="14" eb="15">
      <t>ガツ</t>
    </rPh>
    <rPh sb="17" eb="18">
      <t>ニチ</t>
    </rPh>
    <phoneticPr fontId="2"/>
  </si>
  <si>
    <t>木崎追分道大鳥居</t>
  </si>
  <si>
    <t>関町と昭和自動車会社が関・土山間に乗合自動車を営業する</t>
    <rPh sb="3" eb="5">
      <t>ショウワ</t>
    </rPh>
    <rPh sb="5" eb="8">
      <t>ジドウシャ</t>
    </rPh>
    <rPh sb="8" eb="10">
      <t>カイシャ</t>
    </rPh>
    <rPh sb="11" eb="12">
      <t>セキ</t>
    </rPh>
    <rPh sb="13" eb="15">
      <t>ツチヤマ</t>
    </rPh>
    <rPh sb="15" eb="16">
      <t>アイダ</t>
    </rPh>
    <rPh sb="17" eb="19">
      <t>ノリアイ</t>
    </rPh>
    <rPh sb="19" eb="22">
      <t>ジドウシャ</t>
    </rPh>
    <rPh sb="23" eb="25">
      <t>エイギョウ</t>
    </rPh>
    <phoneticPr fontId="2"/>
  </si>
  <si>
    <t>『鈴鹿関町史』下巻年表
『関町五十周年記念誌』</t>
    <rPh sb="1" eb="3">
      <t>スズカ</t>
    </rPh>
    <rPh sb="3" eb="4">
      <t>セキ</t>
    </rPh>
    <rPh sb="4" eb="6">
      <t>チョウシ</t>
    </rPh>
    <rPh sb="7" eb="9">
      <t>ゲカン</t>
    </rPh>
    <rPh sb="9" eb="10">
      <t>ネン</t>
    </rPh>
    <rPh sb="10" eb="11">
      <t>ヒョウ</t>
    </rPh>
    <phoneticPr fontId="2"/>
  </si>
  <si>
    <t>鈴鹿峠の改修</t>
    <rPh sb="0" eb="2">
      <t>スズカ</t>
    </rPh>
    <rPh sb="2" eb="3">
      <t>トウゲ</t>
    </rPh>
    <rPh sb="4" eb="6">
      <t>カイシュウ</t>
    </rPh>
    <phoneticPr fontId="2"/>
  </si>
  <si>
    <t>鈴鹿峠改修工事（古写真）</t>
    <rPh sb="0" eb="3">
      <t>スズカトウゲ</t>
    </rPh>
    <rPh sb="3" eb="5">
      <t>カイシュウ</t>
    </rPh>
    <rPh sb="5" eb="7">
      <t>コウジ</t>
    </rPh>
    <phoneticPr fontId="2"/>
  </si>
  <si>
    <t>昭和6</t>
  </si>
  <si>
    <t>満州事変がおきる</t>
  </si>
  <si>
    <t>・大阪毎日新聞　満州事変戦局地図（仲野家）・軍事郵便ハガキ（満州出征兵士の挨拶状）・転居届（満州国へ）・満州国地図（森家寄託）</t>
    <phoneticPr fontId="2"/>
  </si>
  <si>
    <t>亀山製絲株式会社が東町（本町１丁目）に蚕種部を設立</t>
    <rPh sb="9" eb="10">
      <t>ヒガシ</t>
    </rPh>
    <rPh sb="10" eb="11">
      <t>マチ</t>
    </rPh>
    <rPh sb="12" eb="14">
      <t>ホンマチ</t>
    </rPh>
    <rPh sb="15" eb="17">
      <t>チョウメ</t>
    </rPh>
    <rPh sb="19" eb="20">
      <t>カイコ</t>
    </rPh>
    <rPh sb="20" eb="21">
      <t>タネ</t>
    </rPh>
    <rPh sb="21" eb="22">
      <t>ブ</t>
    </rPh>
    <rPh sb="23" eb="25">
      <t>セツリツ</t>
    </rPh>
    <phoneticPr fontId="2"/>
  </si>
  <si>
    <t>『亀山のあゆみ』P.73・年表
『亀山市史』通史　近代現代</t>
    <rPh sb="13" eb="15">
      <t>ネンピョウ</t>
    </rPh>
    <rPh sb="16" eb="29">
      <t>ツ</t>
    </rPh>
    <phoneticPr fontId="2"/>
  </si>
  <si>
    <t>東町に新町座設立</t>
    <rPh sb="0" eb="2">
      <t>ヒガシマチ</t>
    </rPh>
    <rPh sb="3" eb="5">
      <t>シンマチ</t>
    </rPh>
    <rPh sb="5" eb="6">
      <t>ザ</t>
    </rPh>
    <rPh sb="6" eb="8">
      <t>セツリツ</t>
    </rPh>
    <phoneticPr fontId="2"/>
  </si>
  <si>
    <t>小亀衡一</t>
    <rPh sb="1" eb="2">
      <t>カメ</t>
    </rPh>
    <rPh sb="2" eb="4">
      <t>コウイチ</t>
    </rPh>
    <rPh sb="3" eb="4">
      <t>イチ</t>
    </rPh>
    <phoneticPr fontId="2"/>
  </si>
  <si>
    <t>新町座関係資料</t>
    <rPh sb="0" eb="2">
      <t>シンマチ</t>
    </rPh>
    <rPh sb="2" eb="3">
      <t>ザ</t>
    </rPh>
    <rPh sb="3" eb="5">
      <t>カンケイ</t>
    </rPh>
    <rPh sb="5" eb="7">
      <t>シリョウ</t>
    </rPh>
    <phoneticPr fontId="2"/>
  </si>
  <si>
    <t>『亀山のあゆみ』P.73・年表</t>
    <rPh sb="13" eb="15">
      <t>ネンピョウ</t>
    </rPh>
    <phoneticPr fontId="2"/>
  </si>
  <si>
    <t>石川組中村製糸所が不況につづく世界大恐慌のために休業する</t>
    <rPh sb="0" eb="2">
      <t>イシカワ</t>
    </rPh>
    <rPh sb="2" eb="3">
      <t>ク</t>
    </rPh>
    <rPh sb="3" eb="5">
      <t>ナカムラ</t>
    </rPh>
    <rPh sb="5" eb="7">
      <t>セイシ</t>
    </rPh>
    <rPh sb="7" eb="8">
      <t>ショ</t>
    </rPh>
    <rPh sb="9" eb="11">
      <t>フキョウ</t>
    </rPh>
    <rPh sb="15" eb="17">
      <t>セカイ</t>
    </rPh>
    <rPh sb="17" eb="18">
      <t>ダイ</t>
    </rPh>
    <rPh sb="18" eb="20">
      <t>キョウコウ</t>
    </rPh>
    <rPh sb="24" eb="26">
      <t>キュウギョウ</t>
    </rPh>
    <phoneticPr fontId="2"/>
  </si>
  <si>
    <t>関町新所</t>
    <rPh sb="0" eb="1">
      <t>セキ</t>
    </rPh>
    <rPh sb="1" eb="2">
      <t>チョウ</t>
    </rPh>
    <rPh sb="2" eb="3">
      <t>シン</t>
    </rPh>
    <rPh sb="3" eb="4">
      <t>ショ</t>
    </rPh>
    <phoneticPr fontId="2"/>
  </si>
  <si>
    <t>石川組中村製糸所</t>
    <phoneticPr fontId="2"/>
  </si>
  <si>
    <t>昭和7</t>
    <phoneticPr fontId="2"/>
  </si>
  <si>
    <t>亀山・三雲間省営バス開通　亀三線</t>
    <rPh sb="0" eb="2">
      <t>カメヤマ</t>
    </rPh>
    <rPh sb="3" eb="5">
      <t>ミクモ</t>
    </rPh>
    <rPh sb="5" eb="6">
      <t>アイダ</t>
    </rPh>
    <rPh sb="6" eb="7">
      <t>ショウ</t>
    </rPh>
    <rPh sb="7" eb="8">
      <t>エイ</t>
    </rPh>
    <rPh sb="10" eb="12">
      <t>カイツウ</t>
    </rPh>
    <rPh sb="13" eb="14">
      <t>カメ</t>
    </rPh>
    <rPh sb="14" eb="15">
      <t>サン</t>
    </rPh>
    <rPh sb="15" eb="16">
      <t>セン</t>
    </rPh>
    <phoneticPr fontId="2"/>
  </si>
  <si>
    <t>亀山・三雲間省営バス</t>
    <phoneticPr fontId="2"/>
  </si>
  <si>
    <t>写真、鈴鹿関町史編纂資料</t>
    <rPh sb="0" eb="2">
      <t>シャシン</t>
    </rPh>
    <rPh sb="3" eb="5">
      <t>スズカ</t>
    </rPh>
    <rPh sb="5" eb="6">
      <t>セキ</t>
    </rPh>
    <rPh sb="6" eb="7">
      <t>チョウ</t>
    </rPh>
    <rPh sb="7" eb="8">
      <t>シ</t>
    </rPh>
    <rPh sb="8" eb="10">
      <t>ヘンサン</t>
    </rPh>
    <rPh sb="10" eb="12">
      <t>シリョウ</t>
    </rPh>
    <phoneticPr fontId="2"/>
  </si>
  <si>
    <t>日本の歴史の中の亀山／近代の亀山／交通の拡充／省営バスの運行開始</t>
    <rPh sb="11" eb="13">
      <t>キンダイ</t>
    </rPh>
    <rPh sb="17" eb="19">
      <t>コウツウ</t>
    </rPh>
    <rPh sb="20" eb="22">
      <t>カクジュウ</t>
    </rPh>
    <rPh sb="23" eb="24">
      <t>ショウ</t>
    </rPh>
    <rPh sb="24" eb="25">
      <t>エイ</t>
    </rPh>
    <rPh sb="28" eb="30">
      <t>ウンコウ</t>
    </rPh>
    <rPh sb="30" eb="32">
      <t>カイシ</t>
    </rPh>
    <phoneticPr fontId="2"/>
  </si>
  <si>
    <t>http://kameyamarekihaku.jp/kodomo/w_e_b/rekishi/kindai/koutsu/page002.html</t>
  </si>
  <si>
    <t>日本の歴史の中の亀山／現代の亀山／交通と通信／バス</t>
    <phoneticPr fontId="2"/>
  </si>
  <si>
    <t>http://kameyamarekihaku.jp/kodomo/w_e_b/rekishi/gendai/koutsu/page004.html</t>
  </si>
  <si>
    <t>郡是製糸株式会社、石川組中村製糸所を買収し、製糸工場を再開する</t>
    <rPh sb="0" eb="2">
      <t>グンゼ</t>
    </rPh>
    <rPh sb="2" eb="4">
      <t>セイシ</t>
    </rPh>
    <rPh sb="4" eb="6">
      <t>カブシキ</t>
    </rPh>
    <rPh sb="6" eb="8">
      <t>カイシャ</t>
    </rPh>
    <rPh sb="9" eb="11">
      <t>イシカワ</t>
    </rPh>
    <rPh sb="11" eb="12">
      <t>ク</t>
    </rPh>
    <rPh sb="12" eb="14">
      <t>ナカムラ</t>
    </rPh>
    <rPh sb="14" eb="16">
      <t>セイシ</t>
    </rPh>
    <rPh sb="16" eb="17">
      <t>ショ</t>
    </rPh>
    <rPh sb="18" eb="20">
      <t>バイシュウ</t>
    </rPh>
    <rPh sb="22" eb="24">
      <t>セイシ</t>
    </rPh>
    <rPh sb="24" eb="26">
      <t>コウジョウ</t>
    </rPh>
    <rPh sb="27" eb="29">
      <t>サイカイ</t>
    </rPh>
    <phoneticPr fontId="2"/>
  </si>
  <si>
    <t>石川組中村製糸所</t>
  </si>
  <si>
    <t>昭和7</t>
    <phoneticPr fontId="2"/>
  </si>
  <si>
    <t>四日市銀行関出張所一時閉店する（昭和14年に三重銀行と改称して再開）</t>
    <rPh sb="3" eb="5">
      <t>ギンコウ</t>
    </rPh>
    <rPh sb="5" eb="6">
      <t>セキ</t>
    </rPh>
    <rPh sb="6" eb="8">
      <t>シュッチョウ</t>
    </rPh>
    <rPh sb="8" eb="9">
      <t>ショ</t>
    </rPh>
    <rPh sb="9" eb="11">
      <t>イチジ</t>
    </rPh>
    <rPh sb="11" eb="13">
      <t>ヘイテン</t>
    </rPh>
    <rPh sb="16" eb="18">
      <t>ショウワ</t>
    </rPh>
    <rPh sb="20" eb="21">
      <t>ネン</t>
    </rPh>
    <rPh sb="22" eb="24">
      <t>ミエ</t>
    </rPh>
    <rPh sb="24" eb="26">
      <t>ギンコウ</t>
    </rPh>
    <rPh sb="27" eb="29">
      <t>カイショウ</t>
    </rPh>
    <rPh sb="31" eb="33">
      <t>サイカイ</t>
    </rPh>
    <phoneticPr fontId="2"/>
  </si>
  <si>
    <t>関</t>
    <phoneticPr fontId="2"/>
  </si>
  <si>
    <t>四日市銀行関出張所・三重銀行</t>
    <phoneticPr fontId="2"/>
  </si>
  <si>
    <t>亀山・草津間省営バス開通　亀草線</t>
    <rPh sb="13" eb="14">
      <t>カメ</t>
    </rPh>
    <rPh sb="14" eb="15">
      <t>クサ</t>
    </rPh>
    <rPh sb="15" eb="16">
      <t>セン</t>
    </rPh>
    <phoneticPr fontId="2"/>
  </si>
  <si>
    <t>亀山・草津間省営バス</t>
    <phoneticPr fontId="2"/>
  </si>
  <si>
    <t>日本の歴史の中の亀山／現代の亀山／交通と通信／バス</t>
    <phoneticPr fontId="2"/>
  </si>
  <si>
    <t>『亀山のあゆみ』P.73・年表
『鈴鹿関町史』下巻年表</t>
    <rPh sb="13" eb="15">
      <t>ネンピョウ</t>
    </rPh>
    <rPh sb="17" eb="19">
      <t>スズカ</t>
    </rPh>
    <rPh sb="19" eb="21">
      <t>セキチョウ</t>
    </rPh>
    <rPh sb="21" eb="22">
      <t>シ</t>
    </rPh>
    <rPh sb="23" eb="25">
      <t>ゲカン</t>
    </rPh>
    <rPh sb="25" eb="27">
      <t>ネンピョウ</t>
    </rPh>
    <phoneticPr fontId="2"/>
  </si>
  <si>
    <t>五・一五事件がおきる　</t>
  </si>
  <si>
    <t>石井兄弟の敵討遺跡碑を池の側に建設する</t>
    <rPh sb="7" eb="9">
      <t>イセキ</t>
    </rPh>
    <rPh sb="9" eb="10">
      <t>ヒ</t>
    </rPh>
    <rPh sb="11" eb="12">
      <t>イケ</t>
    </rPh>
    <rPh sb="13" eb="14">
      <t>ガワ</t>
    </rPh>
    <rPh sb="15" eb="17">
      <t>ケンセツ</t>
    </rPh>
    <phoneticPr fontId="2"/>
  </si>
  <si>
    <t>西丸町</t>
    <rPh sb="0" eb="1">
      <t>ニシ</t>
    </rPh>
    <rPh sb="1" eb="2">
      <t>マル</t>
    </rPh>
    <rPh sb="2" eb="3">
      <t>マチ</t>
    </rPh>
    <phoneticPr fontId="2"/>
  </si>
  <si>
    <t>亀山のむかしばなし／亀山にまつわるひとびとの話／石井兄弟のかたきうち</t>
    <phoneticPr fontId="2"/>
  </si>
  <si>
    <t>『亀山のあゆみ』P.85・年表
『亀山市史』歴史分野
『亀山市史』考古分野</t>
    <rPh sb="13" eb="15">
      <t>ネンピョウ</t>
    </rPh>
    <rPh sb="17" eb="20">
      <t>カメヤマシ</t>
    </rPh>
    <rPh sb="20" eb="21">
      <t>シ</t>
    </rPh>
    <rPh sb="22" eb="24">
      <t>レキシ</t>
    </rPh>
    <rPh sb="24" eb="26">
      <t>ブンヤ</t>
    </rPh>
    <rPh sb="28" eb="31">
      <t>カメヤマシ</t>
    </rPh>
    <rPh sb="31" eb="32">
      <t>シ</t>
    </rPh>
    <rPh sb="33" eb="35">
      <t>コウコ</t>
    </rPh>
    <rPh sb="35" eb="37">
      <t>ブンヤ</t>
    </rPh>
    <phoneticPr fontId="2"/>
  </si>
  <si>
    <t>軍人が力をもち,戦争への道を歩みはじめる</t>
  </si>
  <si>
    <t>昭和8</t>
    <phoneticPr fontId="2"/>
  </si>
  <si>
    <t>国際連盟を脱退する</t>
  </si>
  <si>
    <t>川崎村の私立伊勢国学館が廃館</t>
    <rPh sb="0" eb="2">
      <t>カワサキ</t>
    </rPh>
    <rPh sb="2" eb="3">
      <t>ムラ</t>
    </rPh>
    <rPh sb="4" eb="6">
      <t>シリツ</t>
    </rPh>
    <rPh sb="6" eb="8">
      <t>イセ</t>
    </rPh>
    <rPh sb="8" eb="10">
      <t>コクガク</t>
    </rPh>
    <rPh sb="10" eb="11">
      <t>カン</t>
    </rPh>
    <rPh sb="12" eb="13">
      <t>ハイ</t>
    </rPh>
    <rPh sb="13" eb="14">
      <t>ヤカタ</t>
    </rPh>
    <phoneticPr fontId="2"/>
  </si>
  <si>
    <t>私立伊勢国学館</t>
    <rPh sb="2" eb="4">
      <t>イセ</t>
    </rPh>
    <phoneticPr fontId="2"/>
  </si>
  <si>
    <t>井田川郵便取扱所開設</t>
    <rPh sb="0" eb="3">
      <t>イダガワ</t>
    </rPh>
    <rPh sb="3" eb="5">
      <t>ユウビン</t>
    </rPh>
    <rPh sb="5" eb="7">
      <t>トリアツカイ</t>
    </rPh>
    <rPh sb="7" eb="8">
      <t>ショ</t>
    </rPh>
    <rPh sb="8" eb="10">
      <t>カイセツ</t>
    </rPh>
    <phoneticPr fontId="2"/>
  </si>
  <si>
    <t>井田川町</t>
    <phoneticPr fontId="2"/>
  </si>
  <si>
    <t>井田川郵便取扱所</t>
    <phoneticPr fontId="2"/>
  </si>
  <si>
    <t>鈴関信用利用組合設立</t>
    <rPh sb="0" eb="1">
      <t>スズ</t>
    </rPh>
    <rPh sb="1" eb="2">
      <t>セキ</t>
    </rPh>
    <rPh sb="2" eb="4">
      <t>シンヨウ</t>
    </rPh>
    <rPh sb="4" eb="6">
      <t>リヨウ</t>
    </rPh>
    <rPh sb="6" eb="8">
      <t>クミアイ</t>
    </rPh>
    <rPh sb="8" eb="10">
      <t>セツリツ</t>
    </rPh>
    <phoneticPr fontId="2"/>
  </si>
  <si>
    <t>鈴関信用利用組合</t>
  </si>
  <si>
    <t>昭和9</t>
    <phoneticPr fontId="2"/>
  </si>
  <si>
    <t>野村一里塚が国史跡に指定される</t>
    <phoneticPr fontId="2"/>
  </si>
  <si>
    <t>亀山西</t>
    <rPh sb="0" eb="2">
      <t>カメヤマ</t>
    </rPh>
    <phoneticPr fontId="2"/>
  </si>
  <si>
    <t>むかしの道と交通／亀山の近世の道／一里塚</t>
  </si>
  <si>
    <t>『亀山のあゆみ』P.85・P.445・年表
『亀山市の文化財』</t>
    <rPh sb="19" eb="21">
      <t>ネンピョウ</t>
    </rPh>
    <rPh sb="23" eb="26">
      <t>カメヤマシ</t>
    </rPh>
    <rPh sb="27" eb="30">
      <t>ブンカザイ</t>
    </rPh>
    <phoneticPr fontId="2"/>
  </si>
  <si>
    <t>亀山のいいとこさがし／景色のよいところや歴史を知る手掛かりとなるもの／歴史上の場所／野村一里塚</t>
    <phoneticPr fontId="2"/>
  </si>
  <si>
    <t>室戸台風</t>
    <rPh sb="0" eb="2">
      <t>ムロト</t>
    </rPh>
    <rPh sb="2" eb="4">
      <t>タイフウ</t>
    </rPh>
    <phoneticPr fontId="2"/>
  </si>
  <si>
    <t>室戸台風で橋梁流失や田畑冠水等の被害が出る</t>
    <rPh sb="0" eb="2">
      <t>ムロト</t>
    </rPh>
    <rPh sb="2" eb="4">
      <t>タイフウ</t>
    </rPh>
    <rPh sb="5" eb="7">
      <t>キョウリョウ</t>
    </rPh>
    <rPh sb="7" eb="9">
      <t>リュウシツ</t>
    </rPh>
    <rPh sb="10" eb="12">
      <t>タハタ</t>
    </rPh>
    <rPh sb="12" eb="14">
      <t>カンスイ</t>
    </rPh>
    <rPh sb="14" eb="15">
      <t>ナド</t>
    </rPh>
    <rPh sb="16" eb="18">
      <t>ヒガイ</t>
    </rPh>
    <rPh sb="19" eb="20">
      <t>デ</t>
    </rPh>
    <phoneticPr fontId="2"/>
  </si>
  <si>
    <t>『亀山のあゆみ』P.73～P.74・年表</t>
    <rPh sb="18" eb="20">
      <t>ネンピョウ</t>
    </rPh>
    <phoneticPr fontId="2"/>
  </si>
  <si>
    <t>加太郵便取扱所、郵便局（無集配局）となり、電話通話（加入者１）、電話交換、電報配達を始める
同年、局舎新築</t>
    <rPh sb="0" eb="2">
      <t>カブト</t>
    </rPh>
    <rPh sb="2" eb="4">
      <t>ユウビン</t>
    </rPh>
    <rPh sb="4" eb="6">
      <t>トリアツカイ</t>
    </rPh>
    <rPh sb="6" eb="7">
      <t>ショ</t>
    </rPh>
    <rPh sb="8" eb="11">
      <t>ユウビンキョク</t>
    </rPh>
    <rPh sb="12" eb="13">
      <t>ム</t>
    </rPh>
    <rPh sb="13" eb="15">
      <t>シュウハイ</t>
    </rPh>
    <rPh sb="15" eb="16">
      <t>キョク</t>
    </rPh>
    <rPh sb="21" eb="23">
      <t>デンワ</t>
    </rPh>
    <rPh sb="23" eb="25">
      <t>ツウワ</t>
    </rPh>
    <rPh sb="26" eb="29">
      <t>カニュウシャ</t>
    </rPh>
    <rPh sb="32" eb="34">
      <t>デンワ</t>
    </rPh>
    <rPh sb="34" eb="36">
      <t>コウカン</t>
    </rPh>
    <rPh sb="37" eb="39">
      <t>デンポウ</t>
    </rPh>
    <rPh sb="39" eb="41">
      <t>ハイタツ</t>
    </rPh>
    <rPh sb="42" eb="43">
      <t>ハジ</t>
    </rPh>
    <rPh sb="46" eb="48">
      <t>ドウネン</t>
    </rPh>
    <rPh sb="49" eb="50">
      <t>キョク</t>
    </rPh>
    <rPh sb="50" eb="51">
      <t>シャ</t>
    </rPh>
    <rPh sb="51" eb="53">
      <t>シンチク</t>
    </rPh>
    <phoneticPr fontId="2"/>
  </si>
  <si>
    <t>加太郵便局</t>
    <rPh sb="0" eb="2">
      <t>カブト</t>
    </rPh>
    <phoneticPr fontId="2"/>
  </si>
  <si>
    <t>日本の歴史の中の亀山／現代の亀山／交通と通信／電話（電報電話局）</t>
    <rPh sb="23" eb="25">
      <t>デンワ</t>
    </rPh>
    <rPh sb="26" eb="31">
      <t>デンポウデンワキョク</t>
    </rPh>
    <phoneticPr fontId="2"/>
  </si>
  <si>
    <t>昭和9</t>
    <phoneticPr fontId="2"/>
  </si>
  <si>
    <t>関町忠魂碑が軍艦浅間の砲身で建設される</t>
    <rPh sb="0" eb="1">
      <t>セキ</t>
    </rPh>
    <rPh sb="1" eb="2">
      <t>マチ</t>
    </rPh>
    <rPh sb="2" eb="4">
      <t>チュウコン</t>
    </rPh>
    <rPh sb="4" eb="5">
      <t>ヒ</t>
    </rPh>
    <rPh sb="6" eb="8">
      <t>グンカン</t>
    </rPh>
    <rPh sb="8" eb="10">
      <t>アサマ</t>
    </rPh>
    <rPh sb="11" eb="13">
      <t>ホウシン</t>
    </rPh>
    <rPh sb="14" eb="16">
      <t>ケンセツ</t>
    </rPh>
    <phoneticPr fontId="2"/>
  </si>
  <si>
    <t>関町新所</t>
    <rPh sb="0" eb="1">
      <t>セキ</t>
    </rPh>
    <rPh sb="1" eb="2">
      <t>チョウ</t>
    </rPh>
    <rPh sb="2" eb="4">
      <t>シンジョ</t>
    </rPh>
    <phoneticPr fontId="2"/>
  </si>
  <si>
    <t>関町忠魂碑</t>
    <phoneticPr fontId="2"/>
  </si>
  <si>
    <t>亀山のいいとこさがし／景色のよいところや歴史を知る手掛かりとなるもの／町の風景／忠魂碑</t>
    <rPh sb="40" eb="42">
      <t>チュウコン</t>
    </rPh>
    <rPh sb="42" eb="43">
      <t>ヒ</t>
    </rPh>
    <phoneticPr fontId="2"/>
  </si>
  <si>
    <t>http://kameyamarekihaku.jp/kodomo/w_e_b/iitoko/tegakari/fukei/page005.html</t>
  </si>
  <si>
    <t>昭和10</t>
    <phoneticPr fontId="2"/>
  </si>
  <si>
    <t>私立亀山公民学校を町立に移管し、亀山実業公民学校に改称
さらに亀山実業学校に改称</t>
    <rPh sb="9" eb="10">
      <t>マチ</t>
    </rPh>
    <rPh sb="10" eb="11">
      <t>タ</t>
    </rPh>
    <rPh sb="12" eb="14">
      <t>イカン</t>
    </rPh>
    <rPh sb="16" eb="18">
      <t>カメヤマ</t>
    </rPh>
    <rPh sb="18" eb="20">
      <t>ジツギョウ</t>
    </rPh>
    <rPh sb="20" eb="22">
      <t>コウミン</t>
    </rPh>
    <rPh sb="22" eb="24">
      <t>ガッコウ</t>
    </rPh>
    <rPh sb="25" eb="27">
      <t>カイショウ</t>
    </rPh>
    <rPh sb="31" eb="33">
      <t>カメヤマ</t>
    </rPh>
    <rPh sb="33" eb="35">
      <t>ジツギョウ</t>
    </rPh>
    <rPh sb="35" eb="37">
      <t>ガッコウ</t>
    </rPh>
    <rPh sb="38" eb="40">
      <t>カイショウ</t>
    </rPh>
    <phoneticPr fontId="2"/>
  </si>
  <si>
    <t>亀山実業学校</t>
    <phoneticPr fontId="2"/>
  </si>
  <si>
    <t>卒業アルバム（昭和17年頃）</t>
    <rPh sb="0" eb="2">
      <t>ソツギョウ</t>
    </rPh>
    <rPh sb="7" eb="9">
      <t>ショウワ</t>
    </rPh>
    <rPh sb="11" eb="12">
      <t>ネン</t>
    </rPh>
    <rPh sb="12" eb="13">
      <t>ゴロ</t>
    </rPh>
    <phoneticPr fontId="2"/>
  </si>
  <si>
    <t>『亀山のあゆみ』P.83・年表</t>
    <rPh sb="13" eb="15">
      <t>ネンピョウ</t>
    </rPh>
    <phoneticPr fontId="2"/>
  </si>
  <si>
    <t>昭和10</t>
    <rPh sb="0" eb="2">
      <t>ショウワ</t>
    </rPh>
    <phoneticPr fontId="2"/>
  </si>
  <si>
    <t>亀山駅前の大正座が火災で焼失</t>
    <rPh sb="0" eb="2">
      <t>カメヤマ</t>
    </rPh>
    <rPh sb="2" eb="4">
      <t>エキマエ</t>
    </rPh>
    <rPh sb="5" eb="7">
      <t>タイショウ</t>
    </rPh>
    <rPh sb="7" eb="8">
      <t>ザ</t>
    </rPh>
    <rPh sb="9" eb="11">
      <t>カサイ</t>
    </rPh>
    <rPh sb="12" eb="14">
      <t>ショウシツ</t>
    </rPh>
    <phoneticPr fontId="2"/>
  </si>
  <si>
    <t>大正座</t>
    <rPh sb="0" eb="2">
      <t>タイショウ</t>
    </rPh>
    <rPh sb="2" eb="3">
      <t>ザ</t>
    </rPh>
    <phoneticPr fontId="2"/>
  </si>
  <si>
    <t>日本の歴史の中の亀山／近代の亀山／亀山の近代文化と日常生活／劇場</t>
    <rPh sb="17" eb="19">
      <t>カメヤマ</t>
    </rPh>
    <rPh sb="20" eb="24">
      <t>キンダイブンカ</t>
    </rPh>
    <rPh sb="25" eb="27">
      <t>ニチジョウ</t>
    </rPh>
    <rPh sb="27" eb="29">
      <t>セイカツ</t>
    </rPh>
    <rPh sb="30" eb="32">
      <t>ゲキジョウ</t>
    </rPh>
    <phoneticPr fontId="2"/>
  </si>
  <si>
    <t>『亀山のあゆみ』P.74・年表</t>
    <rPh sb="13" eb="15">
      <t>ネンピョウ</t>
    </rPh>
    <phoneticPr fontId="2"/>
  </si>
  <si>
    <t>関町立実業補習学校・青年訓練所が設置される</t>
    <rPh sb="0" eb="2">
      <t>セキチョウ</t>
    </rPh>
    <rPh sb="2" eb="3">
      <t>リツ</t>
    </rPh>
    <rPh sb="3" eb="5">
      <t>ジツギョウ</t>
    </rPh>
    <rPh sb="5" eb="7">
      <t>ホシュウ</t>
    </rPh>
    <rPh sb="7" eb="9">
      <t>ガッコウ</t>
    </rPh>
    <rPh sb="10" eb="12">
      <t>セイネン</t>
    </rPh>
    <rPh sb="12" eb="14">
      <t>クンレン</t>
    </rPh>
    <rPh sb="14" eb="15">
      <t>ジョ</t>
    </rPh>
    <rPh sb="16" eb="18">
      <t>セッチ</t>
    </rPh>
    <phoneticPr fontId="2"/>
  </si>
  <si>
    <t>関町立実業補習学校・青年訓練所</t>
    <phoneticPr fontId="2"/>
  </si>
  <si>
    <t>加太村立青年学校設置</t>
    <rPh sb="0" eb="2">
      <t>カブト</t>
    </rPh>
    <rPh sb="2" eb="3">
      <t>ムラ</t>
    </rPh>
    <rPh sb="3" eb="4">
      <t>リツ</t>
    </rPh>
    <rPh sb="4" eb="6">
      <t>セイネン</t>
    </rPh>
    <rPh sb="6" eb="8">
      <t>ガッコウ</t>
    </rPh>
    <rPh sb="8" eb="10">
      <t>セッチ</t>
    </rPh>
    <phoneticPr fontId="2"/>
  </si>
  <si>
    <t>加太村立青年学校</t>
    <phoneticPr fontId="2"/>
  </si>
  <si>
    <t>白川村立青年学校設置</t>
    <rPh sb="0" eb="2">
      <t>シラカワ</t>
    </rPh>
    <rPh sb="2" eb="3">
      <t>ムラ</t>
    </rPh>
    <rPh sb="3" eb="4">
      <t>リツ</t>
    </rPh>
    <rPh sb="4" eb="6">
      <t>セイネン</t>
    </rPh>
    <rPh sb="6" eb="8">
      <t>ガッコウ</t>
    </rPh>
    <rPh sb="8" eb="10">
      <t>セッチ</t>
    </rPh>
    <phoneticPr fontId="2"/>
  </si>
  <si>
    <t>白川・関</t>
    <rPh sb="0" eb="2">
      <t>シラカワ</t>
    </rPh>
    <rPh sb="3" eb="4">
      <t>セキ</t>
    </rPh>
    <phoneticPr fontId="2"/>
  </si>
  <si>
    <t>白木町</t>
    <rPh sb="0" eb="3">
      <t>シラキチョウ</t>
    </rPh>
    <phoneticPr fontId="2"/>
  </si>
  <si>
    <t>白川村立青年学校</t>
    <rPh sb="0" eb="2">
      <t>シラカワ</t>
    </rPh>
    <rPh sb="2" eb="3">
      <t>ムラ</t>
    </rPh>
    <rPh sb="3" eb="4">
      <t>リツ</t>
    </rPh>
    <rPh sb="4" eb="6">
      <t>セイネン</t>
    </rPh>
    <rPh sb="6" eb="8">
      <t>ガッコウ</t>
    </rPh>
    <phoneticPr fontId="2"/>
  </si>
  <si>
    <t>関町立青年訓練所を廃し、実業補習学校を関町立青年学校と改称する</t>
    <rPh sb="0" eb="2">
      <t>セキチョウ</t>
    </rPh>
    <rPh sb="2" eb="3">
      <t>リツ</t>
    </rPh>
    <rPh sb="3" eb="5">
      <t>セイネン</t>
    </rPh>
    <rPh sb="5" eb="7">
      <t>クンレン</t>
    </rPh>
    <rPh sb="7" eb="8">
      <t>ジョ</t>
    </rPh>
    <rPh sb="9" eb="10">
      <t>ハイ</t>
    </rPh>
    <rPh sb="12" eb="14">
      <t>ジツギョウ</t>
    </rPh>
    <rPh sb="14" eb="16">
      <t>ホシュウ</t>
    </rPh>
    <rPh sb="16" eb="18">
      <t>ガッコウ</t>
    </rPh>
    <rPh sb="19" eb="21">
      <t>セキチョウ</t>
    </rPh>
    <rPh sb="21" eb="22">
      <t>リツ</t>
    </rPh>
    <rPh sb="22" eb="24">
      <t>セイネン</t>
    </rPh>
    <rPh sb="24" eb="26">
      <t>ガッコウ</t>
    </rPh>
    <rPh sb="27" eb="29">
      <t>カイショウ</t>
    </rPh>
    <phoneticPr fontId="2"/>
  </si>
  <si>
    <t>関町立青年学校</t>
  </si>
  <si>
    <t>昭和10</t>
    <phoneticPr fontId="2"/>
  </si>
  <si>
    <t>大日本国防婦人会関町分会創立</t>
    <rPh sb="0" eb="1">
      <t>ダイ</t>
    </rPh>
    <rPh sb="1" eb="3">
      <t>ニホン</t>
    </rPh>
    <rPh sb="3" eb="5">
      <t>コクボウ</t>
    </rPh>
    <rPh sb="5" eb="8">
      <t>フジンカイ</t>
    </rPh>
    <rPh sb="8" eb="10">
      <t>セキチョウ</t>
    </rPh>
    <rPh sb="10" eb="11">
      <t>ブン</t>
    </rPh>
    <rPh sb="11" eb="12">
      <t>カイ</t>
    </rPh>
    <rPh sb="12" eb="14">
      <t>ソウリツ</t>
    </rPh>
    <phoneticPr fontId="2"/>
  </si>
  <si>
    <t>大日本国防婦人会</t>
  </si>
  <si>
    <t>日本の歴史の中の亀山／近代の亀山／第２次世界大戦と亀山／戦時下のくらし</t>
    <phoneticPr fontId="2"/>
  </si>
  <si>
    <t>http://kameyamarekihaku.jp/kodomo/w_e_b/rekishi/kindai/sekaitaisen2/page007.html</t>
  </si>
  <si>
    <t>昭和11</t>
  </si>
  <si>
    <t>二・二六事件がおきる</t>
  </si>
  <si>
    <t>鏡岩（鈴鹿山の鏡肌）が県天然記念物に指定される</t>
    <rPh sb="0" eb="1">
      <t>カガミ</t>
    </rPh>
    <rPh sb="1" eb="2">
      <t>イワ</t>
    </rPh>
    <rPh sb="3" eb="5">
      <t>スズカ</t>
    </rPh>
    <rPh sb="5" eb="6">
      <t>ヤマ</t>
    </rPh>
    <rPh sb="7" eb="8">
      <t>カガミ</t>
    </rPh>
    <rPh sb="8" eb="9">
      <t>ハダ</t>
    </rPh>
    <rPh sb="11" eb="12">
      <t>ケン</t>
    </rPh>
    <rPh sb="12" eb="14">
      <t>テンネン</t>
    </rPh>
    <rPh sb="14" eb="17">
      <t>キネンブツ</t>
    </rPh>
    <rPh sb="18" eb="20">
      <t>シテイ</t>
    </rPh>
    <phoneticPr fontId="2"/>
  </si>
  <si>
    <t>関町坂下</t>
    <rPh sb="0" eb="1">
      <t>セキ</t>
    </rPh>
    <rPh sb="1" eb="2">
      <t>マチ</t>
    </rPh>
    <rPh sb="2" eb="4">
      <t>サカシタ</t>
    </rPh>
    <phoneticPr fontId="2"/>
  </si>
  <si>
    <t>亀山のいいとこさがし／景色のよいところや歴史を知る手掛かりとなるもの／鉱物</t>
    <rPh sb="35" eb="37">
      <t>コウブツ</t>
    </rPh>
    <phoneticPr fontId="2"/>
  </si>
  <si>
    <t>http://kameyamarekihaku.jp/kodomo/w_e_b/iitoko/tegakari/page003.html</t>
  </si>
  <si>
    <t>『鈴鹿関町史』下巻年表
『亀山市史』通史 原始古代中世</t>
    <rPh sb="1" eb="3">
      <t>スズカ</t>
    </rPh>
    <rPh sb="3" eb="4">
      <t>セキ</t>
    </rPh>
    <rPh sb="4" eb="6">
      <t>チョウシ</t>
    </rPh>
    <rPh sb="7" eb="9">
      <t>ゲカン</t>
    </rPh>
    <rPh sb="9" eb="10">
      <t>ネン</t>
    </rPh>
    <rPh sb="10" eb="11">
      <t>ヒョウ</t>
    </rPh>
    <phoneticPr fontId="2"/>
  </si>
  <si>
    <t>加太村巡査駐在所を移転（板屋4668⇒同597－1）、関巡査部長派出所廃される</t>
    <rPh sb="0" eb="2">
      <t>カブト</t>
    </rPh>
    <rPh sb="2" eb="3">
      <t>ムラ</t>
    </rPh>
    <rPh sb="3" eb="5">
      <t>ジュンサ</t>
    </rPh>
    <rPh sb="5" eb="7">
      <t>チュウザイ</t>
    </rPh>
    <rPh sb="7" eb="8">
      <t>ショ</t>
    </rPh>
    <rPh sb="9" eb="11">
      <t>イテン</t>
    </rPh>
    <rPh sb="12" eb="14">
      <t>イタヤ</t>
    </rPh>
    <rPh sb="19" eb="20">
      <t>ドウ</t>
    </rPh>
    <rPh sb="27" eb="28">
      <t>セキ</t>
    </rPh>
    <rPh sb="28" eb="30">
      <t>ジュンサ</t>
    </rPh>
    <rPh sb="30" eb="32">
      <t>ブチョウ</t>
    </rPh>
    <rPh sb="32" eb="34">
      <t>ハシュツ</t>
    </rPh>
    <rPh sb="34" eb="35">
      <t>ジョ</t>
    </rPh>
    <rPh sb="35" eb="36">
      <t>ハイ</t>
    </rPh>
    <phoneticPr fontId="2"/>
  </si>
  <si>
    <t>関・加太</t>
    <rPh sb="2" eb="4">
      <t>カブト</t>
    </rPh>
    <phoneticPr fontId="2"/>
  </si>
  <si>
    <t>関巡査部長派出所・加太村巡査駐在所</t>
    <phoneticPr fontId="2"/>
  </si>
  <si>
    <t>昭和12</t>
  </si>
  <si>
    <t>慈恩寺阿弥陀如来立像が国宝に指定される（現重要文化財）</t>
    <rPh sb="0" eb="3">
      <t>ジオンジ</t>
    </rPh>
    <rPh sb="3" eb="6">
      <t>アミダ</t>
    </rPh>
    <rPh sb="6" eb="8">
      <t>ニョライ</t>
    </rPh>
    <rPh sb="8" eb="9">
      <t>タ</t>
    </rPh>
    <rPh sb="9" eb="10">
      <t>ゾウ</t>
    </rPh>
    <rPh sb="11" eb="13">
      <t>コクホウ</t>
    </rPh>
    <rPh sb="14" eb="16">
      <t>シテイ</t>
    </rPh>
    <rPh sb="20" eb="21">
      <t>ゲン</t>
    </rPh>
    <rPh sb="21" eb="23">
      <t>ジュウヨウ</t>
    </rPh>
    <rPh sb="23" eb="26">
      <t>ブンカザイ</t>
    </rPh>
    <phoneticPr fontId="2"/>
  </si>
  <si>
    <t>亀山のいいとこさがし／仏像</t>
    <phoneticPr fontId="2"/>
  </si>
  <si>
    <t>『亀山のあゆみ』P.85・P.446・年表
『亀山市史』通史　近代現代</t>
    <rPh sb="19" eb="21">
      <t>ネンピョウ</t>
    </rPh>
    <rPh sb="23" eb="26">
      <t>カメヤマシ</t>
    </rPh>
    <rPh sb="26" eb="27">
      <t>シ</t>
    </rPh>
    <rPh sb="28" eb="30">
      <t>ツウシ</t>
    </rPh>
    <rPh sb="31" eb="32">
      <t>キン</t>
    </rPh>
    <rPh sb="32" eb="33">
      <t>ダイ</t>
    </rPh>
    <rPh sb="33" eb="35">
      <t>ゲンダイ</t>
    </rPh>
    <phoneticPr fontId="2"/>
  </si>
  <si>
    <t>昭和12</t>
    <rPh sb="0" eb="2">
      <t>ショウワ</t>
    </rPh>
    <phoneticPr fontId="2"/>
  </si>
  <si>
    <t>宗英寺イチョウが県天然記念物に指定される</t>
    <rPh sb="0" eb="1">
      <t>シュウ</t>
    </rPh>
    <rPh sb="1" eb="2">
      <t>エイ</t>
    </rPh>
    <rPh sb="2" eb="3">
      <t>テラ</t>
    </rPh>
    <rPh sb="8" eb="9">
      <t>ケン</t>
    </rPh>
    <rPh sb="9" eb="11">
      <t>テンネン</t>
    </rPh>
    <rPh sb="11" eb="14">
      <t>キネンブツ</t>
    </rPh>
    <rPh sb="15" eb="17">
      <t>シテイ</t>
    </rPh>
    <phoneticPr fontId="2"/>
  </si>
  <si>
    <t>南野町</t>
    <rPh sb="0" eb="2">
      <t>ミナミノ</t>
    </rPh>
    <rPh sb="2" eb="3">
      <t>マチ</t>
    </rPh>
    <phoneticPr fontId="2"/>
  </si>
  <si>
    <t>亀山のいいとこさがし／動物や植物／植物</t>
    <rPh sb="17" eb="19">
      <t>ショクブツ</t>
    </rPh>
    <phoneticPr fontId="2"/>
  </si>
  <si>
    <t>http://kameyamarekihaku.jp/kodomo/w_e_b/iitoko/doubutsu/page002.html</t>
  </si>
  <si>
    <t>『亀山のあゆみ』P.85・P.447・年表</t>
    <rPh sb="19" eb="21">
      <t>ネンピョウ</t>
    </rPh>
    <phoneticPr fontId="2"/>
  </si>
  <si>
    <t>日中戦争がおきる</t>
  </si>
  <si>
    <t>・支那戦局図（文芸春秋第一号附録）（森家寄託）・北支那中華民国臨時政府ノ部（読売新聞第二万二千二百二十九号附録地図）（森家寄託）・支那事変従軍記章之証（山中家）</t>
  </si>
  <si>
    <t>三重県農業試験場茶業分場が設置</t>
    <rPh sb="0" eb="3">
      <t>ミエケン</t>
    </rPh>
    <rPh sb="3" eb="5">
      <t>ノウギョウ</t>
    </rPh>
    <rPh sb="5" eb="8">
      <t>シケンジョウ</t>
    </rPh>
    <rPh sb="8" eb="9">
      <t>チャ</t>
    </rPh>
    <rPh sb="9" eb="10">
      <t>ギョウ</t>
    </rPh>
    <rPh sb="10" eb="11">
      <t>ブン</t>
    </rPh>
    <rPh sb="11" eb="12">
      <t>バ</t>
    </rPh>
    <rPh sb="13" eb="15">
      <t>セッチ</t>
    </rPh>
    <phoneticPr fontId="2"/>
  </si>
  <si>
    <t>亀田町</t>
    <rPh sb="0" eb="2">
      <t>カメダ</t>
    </rPh>
    <rPh sb="2" eb="3">
      <t>マチ</t>
    </rPh>
    <phoneticPr fontId="2"/>
  </si>
  <si>
    <t>三重県農業試験場茶業分場</t>
    <phoneticPr fontId="2"/>
  </si>
  <si>
    <t>関町郷土調査会が「関町郷土誌」を発行する</t>
    <rPh sb="0" eb="1">
      <t>セキ</t>
    </rPh>
    <rPh sb="1" eb="2">
      <t>マチ</t>
    </rPh>
    <rPh sb="2" eb="4">
      <t>キョウド</t>
    </rPh>
    <rPh sb="4" eb="6">
      <t>チョウサ</t>
    </rPh>
    <rPh sb="6" eb="7">
      <t>カイ</t>
    </rPh>
    <rPh sb="9" eb="11">
      <t>セキチョウ</t>
    </rPh>
    <rPh sb="11" eb="13">
      <t>キョウド</t>
    </rPh>
    <rPh sb="13" eb="14">
      <t>シ</t>
    </rPh>
    <rPh sb="16" eb="18">
      <t>ハッコウ</t>
    </rPh>
    <phoneticPr fontId="2"/>
  </si>
  <si>
    <t>「関町郷土誌」コピー</t>
    <rPh sb="1" eb="3">
      <t>セキチョウ</t>
    </rPh>
    <rPh sb="3" eb="5">
      <t>キョウド</t>
    </rPh>
    <rPh sb="5" eb="6">
      <t>シ</t>
    </rPh>
    <phoneticPr fontId="2"/>
  </si>
  <si>
    <t>勧進橋竣工</t>
    <rPh sb="0" eb="2">
      <t>カンジン</t>
    </rPh>
    <rPh sb="2" eb="3">
      <t>ハシ</t>
    </rPh>
    <rPh sb="3" eb="5">
      <t>シュンコウ</t>
    </rPh>
    <phoneticPr fontId="2"/>
  </si>
  <si>
    <t>勧進橋</t>
  </si>
  <si>
    <t>渡り初めの様子の写真</t>
    <rPh sb="0" eb="1">
      <t>ワタ</t>
    </rPh>
    <rPh sb="2" eb="3">
      <t>ゾ</t>
    </rPh>
    <rPh sb="5" eb="7">
      <t>ヨウス</t>
    </rPh>
    <rPh sb="8" eb="10">
      <t>シャシン</t>
    </rPh>
    <phoneticPr fontId="2"/>
  </si>
  <si>
    <t>昭和13</t>
  </si>
  <si>
    <t>国家総動員法が出される</t>
    <phoneticPr fontId="2"/>
  </si>
  <si>
    <t>4月に鈴鹿高等女学校で防空演習始まる
８月からモンペの着用が始まる
この頃から、バスの木炭車への改造始まる
鈴鹿高女で全校生が慰問袋を調整する（以後しばしば実施される）</t>
    <rPh sb="1" eb="2">
      <t>ガツ</t>
    </rPh>
    <rPh sb="3" eb="5">
      <t>スズカ</t>
    </rPh>
    <rPh sb="5" eb="7">
      <t>コウトウ</t>
    </rPh>
    <rPh sb="7" eb="10">
      <t>ジョガッコウ</t>
    </rPh>
    <rPh sb="11" eb="13">
      <t>ボウクウ</t>
    </rPh>
    <rPh sb="13" eb="15">
      <t>エンシュウ</t>
    </rPh>
    <rPh sb="15" eb="16">
      <t>ハジ</t>
    </rPh>
    <rPh sb="20" eb="21">
      <t>ガツ</t>
    </rPh>
    <rPh sb="27" eb="29">
      <t>チャクヨウ</t>
    </rPh>
    <rPh sb="30" eb="31">
      <t>ハジ</t>
    </rPh>
    <rPh sb="36" eb="37">
      <t>コロ</t>
    </rPh>
    <rPh sb="43" eb="45">
      <t>モクタン</t>
    </rPh>
    <rPh sb="45" eb="46">
      <t>クルマ</t>
    </rPh>
    <rPh sb="48" eb="50">
      <t>カイゾウ</t>
    </rPh>
    <rPh sb="50" eb="51">
      <t>ハジ</t>
    </rPh>
    <rPh sb="54" eb="56">
      <t>スズカ</t>
    </rPh>
    <rPh sb="56" eb="58">
      <t>コウジョ</t>
    </rPh>
    <rPh sb="59" eb="60">
      <t>ゼン</t>
    </rPh>
    <rPh sb="60" eb="61">
      <t>コウ</t>
    </rPh>
    <rPh sb="61" eb="62">
      <t>セイ</t>
    </rPh>
    <rPh sb="63" eb="65">
      <t>イモン</t>
    </rPh>
    <rPh sb="65" eb="66">
      <t>フクロ</t>
    </rPh>
    <rPh sb="67" eb="69">
      <t>チョウセイ</t>
    </rPh>
    <rPh sb="72" eb="74">
      <t>イゴ</t>
    </rPh>
    <rPh sb="78" eb="80">
      <t>ジッシ</t>
    </rPh>
    <phoneticPr fontId="2"/>
  </si>
  <si>
    <t>鈴鹿高等女学校</t>
    <phoneticPr fontId="2"/>
  </si>
  <si>
    <t>・国民精神総動員と小学校教育（山中家）・保健生活の実践へ（国民精神総動員資料第拾輯）</t>
    <phoneticPr fontId="2"/>
  </si>
  <si>
    <t>日本の歴史の中の亀山／近代の亀山／第２次世界大戦と亀山／戦時下のくらし</t>
    <rPh sb="28" eb="31">
      <t>センジカ</t>
    </rPh>
    <phoneticPr fontId="2"/>
  </si>
  <si>
    <t>坂下尋常小学校に高等科を併置、坂下尋常高等小学校となる
市瀬地区児童の関町委託を解除
新校舎に移転する</t>
    <rPh sb="0" eb="2">
      <t>サカシタ</t>
    </rPh>
    <rPh sb="2" eb="4">
      <t>ジンジョウ</t>
    </rPh>
    <rPh sb="4" eb="7">
      <t>ショウガッコウ</t>
    </rPh>
    <rPh sb="8" eb="11">
      <t>コウトウカ</t>
    </rPh>
    <rPh sb="12" eb="14">
      <t>ヘイチ</t>
    </rPh>
    <rPh sb="15" eb="17">
      <t>サカシタ</t>
    </rPh>
    <rPh sb="17" eb="19">
      <t>ジンジョウ</t>
    </rPh>
    <rPh sb="19" eb="21">
      <t>コウトウ</t>
    </rPh>
    <rPh sb="21" eb="24">
      <t>ショウガッコウ</t>
    </rPh>
    <rPh sb="28" eb="30">
      <t>イチノセ</t>
    </rPh>
    <rPh sb="30" eb="32">
      <t>チク</t>
    </rPh>
    <rPh sb="32" eb="34">
      <t>ジドウ</t>
    </rPh>
    <rPh sb="35" eb="37">
      <t>セキチョウ</t>
    </rPh>
    <rPh sb="37" eb="39">
      <t>イタク</t>
    </rPh>
    <rPh sb="40" eb="42">
      <t>カイジョ</t>
    </rPh>
    <rPh sb="43" eb="46">
      <t>シンコウシャ</t>
    </rPh>
    <rPh sb="47" eb="49">
      <t>イテン</t>
    </rPh>
    <phoneticPr fontId="2"/>
  </si>
  <si>
    <t>関町沓掛、関町市瀬</t>
    <rPh sb="0" eb="1">
      <t>セキ</t>
    </rPh>
    <rPh sb="1" eb="2">
      <t>チョウ</t>
    </rPh>
    <rPh sb="2" eb="4">
      <t>クツカケ</t>
    </rPh>
    <rPh sb="5" eb="7">
      <t>セキチョウ</t>
    </rPh>
    <rPh sb="7" eb="9">
      <t>イチノセ</t>
    </rPh>
    <phoneticPr fontId="2"/>
  </si>
  <si>
    <t>坂下尋常小学校</t>
    <phoneticPr fontId="2"/>
  </si>
  <si>
    <t>三重県下の大洪水により、法安寺前の中の橋流失する</t>
    <rPh sb="0" eb="4">
      <t>ミエケンカ</t>
    </rPh>
    <rPh sb="5" eb="8">
      <t>ダイコウズイ</t>
    </rPh>
    <rPh sb="12" eb="13">
      <t>ホウ</t>
    </rPh>
    <rPh sb="13" eb="14">
      <t>アン</t>
    </rPh>
    <rPh sb="14" eb="15">
      <t>テラ</t>
    </rPh>
    <rPh sb="15" eb="16">
      <t>マエ</t>
    </rPh>
    <rPh sb="17" eb="18">
      <t>ナカ</t>
    </rPh>
    <rPh sb="19" eb="20">
      <t>ハシ</t>
    </rPh>
    <rPh sb="20" eb="22">
      <t>リュウシツ</t>
    </rPh>
    <phoneticPr fontId="2"/>
  </si>
  <si>
    <t>関町坂下</t>
    <rPh sb="0" eb="1">
      <t>セキ</t>
    </rPh>
    <rPh sb="1" eb="2">
      <t>チョウ</t>
    </rPh>
    <rPh sb="2" eb="4">
      <t>サカシタ</t>
    </rPh>
    <phoneticPr fontId="2"/>
  </si>
  <si>
    <t>中の橋</t>
    <phoneticPr fontId="2"/>
  </si>
  <si>
    <t>昭和14</t>
    <rPh sb="0" eb="2">
      <t>ショウワ</t>
    </rPh>
    <phoneticPr fontId="2"/>
  </si>
  <si>
    <t>鈴鹿高等女学校で衣笠貞之助講演会開く</t>
    <rPh sb="0" eb="2">
      <t>スズカ</t>
    </rPh>
    <rPh sb="2" eb="4">
      <t>コウトウ</t>
    </rPh>
    <rPh sb="4" eb="7">
      <t>ジョガッコウ</t>
    </rPh>
    <rPh sb="8" eb="10">
      <t>キヌガサ</t>
    </rPh>
    <rPh sb="10" eb="11">
      <t>サダ</t>
    </rPh>
    <rPh sb="11" eb="12">
      <t>ノ</t>
    </rPh>
    <rPh sb="12" eb="13">
      <t>スケ</t>
    </rPh>
    <rPh sb="13" eb="16">
      <t>コウエンカイ</t>
    </rPh>
    <rPh sb="16" eb="17">
      <t>ヒラ</t>
    </rPh>
    <phoneticPr fontId="2"/>
  </si>
  <si>
    <t>衣笠貞之助</t>
    <rPh sb="0" eb="2">
      <t>キヌガサ</t>
    </rPh>
    <rPh sb="2" eb="3">
      <t>サダ</t>
    </rPh>
    <rPh sb="3" eb="4">
      <t>コレ</t>
    </rPh>
    <rPh sb="4" eb="5">
      <t>スケ</t>
    </rPh>
    <phoneticPr fontId="2"/>
  </si>
  <si>
    <t>亀山市の名誉市民／旧亀山市の名誉市民</t>
  </si>
  <si>
    <t>http://kameyamarekihaku.jp/kodomo/w_e_b/meiyo/page001.html</t>
  </si>
  <si>
    <t>亀山橋が完成</t>
    <rPh sb="0" eb="2">
      <t>カメヤマ</t>
    </rPh>
    <rPh sb="2" eb="3">
      <t>ハシ</t>
    </rPh>
    <rPh sb="4" eb="6">
      <t>カンセイ</t>
    </rPh>
    <phoneticPr fontId="2"/>
  </si>
  <si>
    <t>亀山橋</t>
    <rPh sb="0" eb="2">
      <t>カメヤマ</t>
    </rPh>
    <rPh sb="2" eb="3">
      <t>ハシ</t>
    </rPh>
    <phoneticPr fontId="2"/>
  </si>
  <si>
    <t>『亀山のあゆみ』P.75・年表
『亀山市史』歴史分野</t>
    <rPh sb="13" eb="15">
      <t>ネンピョウ</t>
    </rPh>
    <rPh sb="17" eb="20">
      <t>カメヤマシ</t>
    </rPh>
    <rPh sb="20" eb="21">
      <t>シ</t>
    </rPh>
    <rPh sb="22" eb="24">
      <t>レキシ</t>
    </rPh>
    <rPh sb="24" eb="26">
      <t>ブンヤ</t>
    </rPh>
    <phoneticPr fontId="2"/>
  </si>
  <si>
    <t>加太村森林組合設立</t>
    <rPh sb="0" eb="2">
      <t>カブト</t>
    </rPh>
    <rPh sb="2" eb="3">
      <t>ムラ</t>
    </rPh>
    <rPh sb="3" eb="5">
      <t>シンリン</t>
    </rPh>
    <rPh sb="5" eb="7">
      <t>クミアイ</t>
    </rPh>
    <rPh sb="7" eb="9">
      <t>セツリツ</t>
    </rPh>
    <phoneticPr fontId="2"/>
  </si>
  <si>
    <t>加太村森林組合</t>
    <phoneticPr fontId="2"/>
  </si>
  <si>
    <t>昭和15</t>
    <rPh sb="0" eb="2">
      <t>ショウワ</t>
    </rPh>
    <phoneticPr fontId="2"/>
  </si>
  <si>
    <t>谷川蝋燭製造所から亀山蝋燭製造所になる</t>
    <rPh sb="0" eb="2">
      <t>タニガワ</t>
    </rPh>
    <rPh sb="2" eb="4">
      <t>ロウソク</t>
    </rPh>
    <rPh sb="4" eb="7">
      <t>セイゾウショ</t>
    </rPh>
    <rPh sb="9" eb="11">
      <t>カメヤマ</t>
    </rPh>
    <rPh sb="11" eb="13">
      <t>ロウソク</t>
    </rPh>
    <rPh sb="13" eb="15">
      <t>セイゾウ</t>
    </rPh>
    <rPh sb="15" eb="16">
      <t>ジョ</t>
    </rPh>
    <phoneticPr fontId="2"/>
  </si>
  <si>
    <t>栄町</t>
    <rPh sb="0" eb="2">
      <t>サカエマチ</t>
    </rPh>
    <phoneticPr fontId="2"/>
  </si>
  <si>
    <t>亀山蝋燭製造所</t>
    <phoneticPr fontId="2"/>
  </si>
  <si>
    <t>日本の歴史の中の亀山／現代の亀山／産業／工業／ローソク（２）</t>
    <phoneticPr fontId="2"/>
  </si>
  <si>
    <t>昭和15</t>
    <phoneticPr fontId="2"/>
  </si>
  <si>
    <t>満州国皇帝溥儀、伊勢神宮参拝に際し亀山駅を通過</t>
    <rPh sb="0" eb="3">
      <t>マンシュウコク</t>
    </rPh>
    <rPh sb="3" eb="5">
      <t>コウテイ</t>
    </rPh>
    <rPh sb="5" eb="7">
      <t>フギ</t>
    </rPh>
    <rPh sb="8" eb="12">
      <t>イセジングウ</t>
    </rPh>
    <rPh sb="12" eb="14">
      <t>サンパイ</t>
    </rPh>
    <rPh sb="15" eb="16">
      <t>サイ</t>
    </rPh>
    <rPh sb="17" eb="18">
      <t>カメ</t>
    </rPh>
    <rPh sb="18" eb="19">
      <t>ヤマ</t>
    </rPh>
    <rPh sb="19" eb="20">
      <t>エキ</t>
    </rPh>
    <rPh sb="21" eb="23">
      <t>ツウカ</t>
    </rPh>
    <phoneticPr fontId="2"/>
  </si>
  <si>
    <t>亀山駅</t>
    <rPh sb="0" eb="2">
      <t>カメヤマ</t>
    </rPh>
    <rPh sb="2" eb="3">
      <t>エキ</t>
    </rPh>
    <phoneticPr fontId="2"/>
  </si>
  <si>
    <t>溥儀</t>
    <phoneticPr fontId="2"/>
  </si>
  <si>
    <t>誓正寺山門再建</t>
    <rPh sb="0" eb="1">
      <t>チカ</t>
    </rPh>
    <rPh sb="1" eb="2">
      <t>マサ</t>
    </rPh>
    <rPh sb="2" eb="3">
      <t>テラ</t>
    </rPh>
    <rPh sb="3" eb="5">
      <t>サンモン</t>
    </rPh>
    <rPh sb="5" eb="7">
      <t>サイケン</t>
    </rPh>
    <phoneticPr fontId="2"/>
  </si>
  <si>
    <t>誓正寺</t>
    <phoneticPr fontId="2"/>
  </si>
  <si>
    <t>誓正寺山門</t>
    <rPh sb="3" eb="5">
      <t>サンモン</t>
    </rPh>
    <phoneticPr fontId="2"/>
  </si>
  <si>
    <t>この頃に郡是製糸株式会社関乾繭場閉鎖する</t>
    <rPh sb="2" eb="3">
      <t>コロ</t>
    </rPh>
    <rPh sb="4" eb="6">
      <t>グンゼ</t>
    </rPh>
    <rPh sb="6" eb="8">
      <t>セイシ</t>
    </rPh>
    <rPh sb="8" eb="10">
      <t>カブシキ</t>
    </rPh>
    <rPh sb="10" eb="12">
      <t>カイシャ</t>
    </rPh>
    <rPh sb="12" eb="13">
      <t>セキ</t>
    </rPh>
    <rPh sb="13" eb="14">
      <t>イヌイ</t>
    </rPh>
    <rPh sb="14" eb="15">
      <t>マユ</t>
    </rPh>
    <rPh sb="15" eb="16">
      <t>バ</t>
    </rPh>
    <rPh sb="16" eb="18">
      <t>ヘイサ</t>
    </rPh>
    <phoneticPr fontId="2"/>
  </si>
  <si>
    <t>郡是製糸株式会社関乾繭場</t>
    <phoneticPr fontId="2"/>
  </si>
  <si>
    <t>昭和15</t>
  </si>
  <si>
    <t>日独伊三国同盟が結ばれる</t>
  </si>
  <si>
    <t>昭和16</t>
  </si>
  <si>
    <t>学制改革により各町村の尋常高等小学校を国民学校と改称</t>
    <rPh sb="0" eb="2">
      <t>ガクセイ</t>
    </rPh>
    <rPh sb="2" eb="4">
      <t>カイカク</t>
    </rPh>
    <rPh sb="7" eb="8">
      <t>カク</t>
    </rPh>
    <rPh sb="8" eb="10">
      <t>チョウソン</t>
    </rPh>
    <rPh sb="11" eb="13">
      <t>ジンジョウ</t>
    </rPh>
    <rPh sb="13" eb="15">
      <t>コウトウ</t>
    </rPh>
    <rPh sb="15" eb="18">
      <t>ショウガッコウ</t>
    </rPh>
    <rPh sb="19" eb="21">
      <t>コクミン</t>
    </rPh>
    <rPh sb="21" eb="23">
      <t>ガッコウ</t>
    </rPh>
    <rPh sb="24" eb="26">
      <t>カイショウ</t>
    </rPh>
    <phoneticPr fontId="2"/>
  </si>
  <si>
    <t>学校のあゆみ</t>
    <phoneticPr fontId="2"/>
  </si>
  <si>
    <t>http://kameyamarekihaku.jp/kodomo/w_e_b/ayumi/index.html</t>
  </si>
  <si>
    <t>太平洋戦争がはじまる（～45）</t>
  </si>
  <si>
    <t>・朝日新聞（中部）号外、日米開戦第１報</t>
    <phoneticPr fontId="2"/>
  </si>
  <si>
    <t>日本の歴史の中の亀山／近代の亀山／第２次世界大戦と亀山</t>
    <phoneticPr fontId="2"/>
  </si>
  <si>
    <t>http://kameyamarekihaku.jp/kodomo/w_e_b/rekishi/kindai/sekaitaisen2/index.html</t>
  </si>
  <si>
    <t>web図録　企画展web図録
『亀山市史』通史　近代現代
『館蔵資料データベース』</t>
    <rPh sb="6" eb="8">
      <t>キカク</t>
    </rPh>
    <rPh sb="8" eb="9">
      <t>テン</t>
    </rPh>
    <rPh sb="15" eb="28">
      <t>ゲ</t>
    </rPh>
    <rPh sb="30" eb="32">
      <t>カンゾウ</t>
    </rPh>
    <rPh sb="32" eb="34">
      <t>シリョウ</t>
    </rPh>
    <phoneticPr fontId="2"/>
  </si>
  <si>
    <t>昭和16</t>
    <phoneticPr fontId="2"/>
  </si>
  <si>
    <t>能褒野に北伊勢陸軍飛行場開設（開設当初は各務原陸軍飛行学校の分教所だったが、昭和18年（1943）から明野陸軍飛行学校北伊勢分教所となった）</t>
    <rPh sb="4" eb="5">
      <t>キタ</t>
    </rPh>
    <rPh sb="5" eb="7">
      <t>イセ</t>
    </rPh>
    <rPh sb="12" eb="14">
      <t>カイセツ</t>
    </rPh>
    <rPh sb="15" eb="17">
      <t>カイセツ</t>
    </rPh>
    <rPh sb="17" eb="19">
      <t>トウショ</t>
    </rPh>
    <rPh sb="20" eb="22">
      <t>カガミ</t>
    </rPh>
    <rPh sb="22" eb="23">
      <t>ハラ</t>
    </rPh>
    <rPh sb="23" eb="25">
      <t>リクグン</t>
    </rPh>
    <rPh sb="25" eb="27">
      <t>ヒコウ</t>
    </rPh>
    <rPh sb="27" eb="29">
      <t>ガッコウ</t>
    </rPh>
    <rPh sb="30" eb="31">
      <t>ブン</t>
    </rPh>
    <rPh sb="31" eb="32">
      <t>オシ</t>
    </rPh>
    <rPh sb="32" eb="33">
      <t>トコロ</t>
    </rPh>
    <rPh sb="38" eb="40">
      <t>ショウワ</t>
    </rPh>
    <rPh sb="42" eb="43">
      <t>ネン</t>
    </rPh>
    <rPh sb="51" eb="53">
      <t>アケノ</t>
    </rPh>
    <rPh sb="53" eb="55">
      <t>リクグン</t>
    </rPh>
    <rPh sb="55" eb="57">
      <t>ヒコウ</t>
    </rPh>
    <rPh sb="57" eb="59">
      <t>ガッコウ</t>
    </rPh>
    <rPh sb="59" eb="60">
      <t>キタ</t>
    </rPh>
    <rPh sb="60" eb="62">
      <t>イセ</t>
    </rPh>
    <rPh sb="62" eb="63">
      <t>フン</t>
    </rPh>
    <rPh sb="63" eb="64">
      <t>キョウ</t>
    </rPh>
    <rPh sb="64" eb="65">
      <t>トコロ</t>
    </rPh>
    <phoneticPr fontId="2"/>
  </si>
  <si>
    <t>川崎町・能褒野町</t>
    <rPh sb="0" eb="2">
      <t>カワサキ</t>
    </rPh>
    <rPh sb="2" eb="3">
      <t>チョウ</t>
    </rPh>
    <rPh sb="4" eb="8">
      <t>ノボノチョウ</t>
    </rPh>
    <phoneticPr fontId="2"/>
  </si>
  <si>
    <t>北伊勢陸軍飛行場</t>
    <phoneticPr fontId="2"/>
  </si>
  <si>
    <t>北伊勢陸軍飛行場写真
旧北伊勢陸軍飛行場位置図（旧神辺村役場資料）</t>
    <rPh sb="8" eb="10">
      <t>シャシン</t>
    </rPh>
    <rPh sb="11" eb="12">
      <t>キュウ</t>
    </rPh>
    <rPh sb="20" eb="22">
      <t>イチ</t>
    </rPh>
    <rPh sb="22" eb="23">
      <t>ズ</t>
    </rPh>
    <rPh sb="24" eb="25">
      <t>キュウ</t>
    </rPh>
    <rPh sb="25" eb="27">
      <t>カンベ</t>
    </rPh>
    <rPh sb="27" eb="28">
      <t>ムラ</t>
    </rPh>
    <rPh sb="28" eb="30">
      <t>ヤクバ</t>
    </rPh>
    <rPh sb="30" eb="32">
      <t>シリョウ</t>
    </rPh>
    <phoneticPr fontId="2"/>
  </si>
  <si>
    <t>米軍航空写真</t>
  </si>
  <si>
    <t>日本の歴史の中の亀山／近代の亀山／第２次世界大戦と亀山／北伊勢飛行場</t>
    <rPh sb="0" eb="2">
      <t>ニホン</t>
    </rPh>
    <rPh sb="11" eb="13">
      <t>キンダイ</t>
    </rPh>
    <rPh sb="14" eb="17">
      <t>カメヤマ・</t>
    </rPh>
    <rPh sb="17" eb="18">
      <t>ダイ</t>
    </rPh>
    <rPh sb="19" eb="20">
      <t>ジ</t>
    </rPh>
    <rPh sb="20" eb="22">
      <t>セカイ</t>
    </rPh>
    <rPh sb="22" eb="24">
      <t>タイセン</t>
    </rPh>
    <rPh sb="25" eb="27">
      <t>カメヤマ</t>
    </rPh>
    <rPh sb="28" eb="29">
      <t>キタ</t>
    </rPh>
    <rPh sb="29" eb="31">
      <t>イセ</t>
    </rPh>
    <rPh sb="31" eb="33">
      <t>ヒコウ</t>
    </rPh>
    <phoneticPr fontId="2"/>
  </si>
  <si>
    <t>http://kameyamarekihaku.jp/kodomo/w_e_b/rekishi/kindai/sekaitaisen2/page002.html</t>
  </si>
  <si>
    <t>『亀山市史』通史 近代・現代
『三重の戦争遺跡』</t>
    <rPh sb="1" eb="4">
      <t>カメヤマシ</t>
    </rPh>
    <rPh sb="4" eb="5">
      <t>シ</t>
    </rPh>
    <rPh sb="6" eb="8">
      <t>ツウシ</t>
    </rPh>
    <rPh sb="9" eb="11">
      <t>キンダイ</t>
    </rPh>
    <rPh sb="12" eb="14">
      <t>ゲンダイ</t>
    </rPh>
    <rPh sb="16" eb="18">
      <t>ミエ</t>
    </rPh>
    <rPh sb="19" eb="21">
      <t>センソウ</t>
    </rPh>
    <rPh sb="21" eb="23">
      <t>イセキ</t>
    </rPh>
    <phoneticPr fontId="2"/>
  </si>
  <si>
    <t>昭和17</t>
    <rPh sb="0" eb="2">
      <t>ショウワ</t>
    </rPh>
    <phoneticPr fontId="2"/>
  </si>
  <si>
    <t>衣料、味噌・醤油が切符制に、酒・菓子類が配給制となる
また、金属の供出が始まる</t>
    <rPh sb="0" eb="2">
      <t>イリョウ</t>
    </rPh>
    <rPh sb="3" eb="5">
      <t>ミソ</t>
    </rPh>
    <rPh sb="6" eb="8">
      <t>ショウユ</t>
    </rPh>
    <rPh sb="9" eb="11">
      <t>キップ</t>
    </rPh>
    <rPh sb="11" eb="12">
      <t>セイ</t>
    </rPh>
    <rPh sb="14" eb="15">
      <t>サケ</t>
    </rPh>
    <rPh sb="16" eb="18">
      <t>カシ</t>
    </rPh>
    <rPh sb="18" eb="19">
      <t>ルイ</t>
    </rPh>
    <rPh sb="20" eb="23">
      <t>ハイキュウセイ</t>
    </rPh>
    <rPh sb="30" eb="32">
      <t>キンゾク</t>
    </rPh>
    <rPh sb="33" eb="35">
      <t>キョウシュツ</t>
    </rPh>
    <rPh sb="36" eb="37">
      <t>ハジ</t>
    </rPh>
    <phoneticPr fontId="2"/>
  </si>
  <si>
    <t>日本の歴史の中の亀山／近代の亀山／第２次世界大戦と亀山／戦時下のくらし</t>
    <phoneticPr fontId="2"/>
  </si>
  <si>
    <t>『亀山のあゆみ』P.75・年表
web図録　企画展web図録</t>
    <rPh sb="13" eb="15">
      <t>ネンピョウ</t>
    </rPh>
    <phoneticPr fontId="2"/>
  </si>
  <si>
    <t>鈴鹿地方事務所が亀山町に設置される</t>
    <rPh sb="0" eb="2">
      <t>スズカ</t>
    </rPh>
    <rPh sb="2" eb="4">
      <t>チホウ</t>
    </rPh>
    <rPh sb="4" eb="6">
      <t>ジム</t>
    </rPh>
    <rPh sb="6" eb="7">
      <t>ショ</t>
    </rPh>
    <rPh sb="8" eb="10">
      <t>カメヤマ</t>
    </rPh>
    <rPh sb="10" eb="11">
      <t>マチ</t>
    </rPh>
    <rPh sb="12" eb="14">
      <t>セッチ</t>
    </rPh>
    <phoneticPr fontId="2"/>
  </si>
  <si>
    <t>鈴鹿地方事務所</t>
    <phoneticPr fontId="2"/>
  </si>
  <si>
    <t>『亀山のあゆみ』P.75・年表</t>
    <rPh sb="13" eb="15">
      <t>ネンピョウ</t>
    </rPh>
    <phoneticPr fontId="2"/>
  </si>
  <si>
    <t>昭和18</t>
    <rPh sb="0" eb="2">
      <t>ショウワ</t>
    </rPh>
    <phoneticPr fontId="2"/>
  </si>
  <si>
    <t>神辺村長に仲野武助が就任</t>
    <rPh sb="0" eb="2">
      <t>カンベ</t>
    </rPh>
    <rPh sb="2" eb="3">
      <t>ムラ</t>
    </rPh>
    <rPh sb="3" eb="4">
      <t>オサ</t>
    </rPh>
    <rPh sb="5" eb="7">
      <t>ナカノ</t>
    </rPh>
    <rPh sb="7" eb="8">
      <t>ブ</t>
    </rPh>
    <rPh sb="8" eb="9">
      <t>スケ</t>
    </rPh>
    <rPh sb="10" eb="12">
      <t>シュウニン</t>
    </rPh>
    <phoneticPr fontId="2"/>
  </si>
  <si>
    <t>仲野武助</t>
    <phoneticPr fontId="2"/>
  </si>
  <si>
    <t>仲野武重家資料</t>
    <rPh sb="0" eb="2">
      <t>ナカノ</t>
    </rPh>
    <rPh sb="2" eb="4">
      <t>タケシゲ</t>
    </rPh>
    <rPh sb="4" eb="5">
      <t>イエ</t>
    </rPh>
    <rPh sb="5" eb="7">
      <t>シリョウ</t>
    </rPh>
    <phoneticPr fontId="2"/>
  </si>
  <si>
    <t>女子師範学校が国立となり、鈴鹿高等女学校と校舎校地を分離、女子師範付属小学校が使用していた創立期の旧校舎に鈴鹿高女が移転する</t>
    <rPh sb="0" eb="2">
      <t>ジョシ</t>
    </rPh>
    <rPh sb="2" eb="4">
      <t>シハン</t>
    </rPh>
    <rPh sb="4" eb="6">
      <t>ガッコウ</t>
    </rPh>
    <rPh sb="7" eb="9">
      <t>コクリツ</t>
    </rPh>
    <rPh sb="13" eb="15">
      <t>スズカ</t>
    </rPh>
    <rPh sb="15" eb="17">
      <t>コウトウ</t>
    </rPh>
    <rPh sb="17" eb="20">
      <t>ジョガッコウ</t>
    </rPh>
    <rPh sb="21" eb="23">
      <t>コウシャ</t>
    </rPh>
    <rPh sb="23" eb="24">
      <t>コウ</t>
    </rPh>
    <rPh sb="24" eb="25">
      <t>チ</t>
    </rPh>
    <rPh sb="26" eb="28">
      <t>ブンリ</t>
    </rPh>
    <rPh sb="29" eb="31">
      <t>ジョシ</t>
    </rPh>
    <rPh sb="31" eb="33">
      <t>シハン</t>
    </rPh>
    <rPh sb="33" eb="35">
      <t>フゾク</t>
    </rPh>
    <rPh sb="35" eb="38">
      <t>ショウガッコウ</t>
    </rPh>
    <rPh sb="39" eb="41">
      <t>シヨウ</t>
    </rPh>
    <rPh sb="45" eb="47">
      <t>ソウリツ</t>
    </rPh>
    <rPh sb="47" eb="48">
      <t>キ</t>
    </rPh>
    <rPh sb="49" eb="50">
      <t>キュウ</t>
    </rPh>
    <rPh sb="50" eb="52">
      <t>コウシャ</t>
    </rPh>
    <rPh sb="53" eb="55">
      <t>スズカ</t>
    </rPh>
    <rPh sb="55" eb="57">
      <t>コウジョ</t>
    </rPh>
    <rPh sb="58" eb="60">
      <t>イテン</t>
    </rPh>
    <phoneticPr fontId="2"/>
  </si>
  <si>
    <t>『亀山のあゆみ』年表
『亀山市史』歴史分野</t>
    <rPh sb="8" eb="10">
      <t>ネンピョウ</t>
    </rPh>
    <rPh sb="12" eb="15">
      <t>カメヤマシ</t>
    </rPh>
    <rPh sb="15" eb="16">
      <t>シ</t>
    </rPh>
    <rPh sb="17" eb="19">
      <t>レキシ</t>
    </rPh>
    <rPh sb="19" eb="21">
      <t>ブンヤ</t>
    </rPh>
    <phoneticPr fontId="2"/>
  </si>
  <si>
    <t>鈴鹿高等女学校生通学時のモンペ着用始まる</t>
    <rPh sb="0" eb="2">
      <t>スズカ</t>
    </rPh>
    <rPh sb="2" eb="4">
      <t>コウトウ</t>
    </rPh>
    <rPh sb="4" eb="7">
      <t>ジョガッコウ</t>
    </rPh>
    <rPh sb="7" eb="8">
      <t>セイ</t>
    </rPh>
    <rPh sb="8" eb="10">
      <t>ツウガク</t>
    </rPh>
    <rPh sb="10" eb="11">
      <t>トキ</t>
    </rPh>
    <rPh sb="15" eb="17">
      <t>チャクヨウ</t>
    </rPh>
    <rPh sb="17" eb="18">
      <t>ハジ</t>
    </rPh>
    <phoneticPr fontId="2"/>
  </si>
  <si>
    <t>鈴鹿高等女学校</t>
  </si>
  <si>
    <t xml:space="preserve">『亀山のあゆみ』年表
</t>
    <rPh sb="8" eb="10">
      <t>ネンピョウ</t>
    </rPh>
    <phoneticPr fontId="2"/>
  </si>
  <si>
    <t>白川村に白川電報電話取扱所開設
昭和21年（1946）に郵便局に昇格</t>
    <rPh sb="0" eb="2">
      <t>シラカワ</t>
    </rPh>
    <rPh sb="2" eb="3">
      <t>ムラ</t>
    </rPh>
    <rPh sb="4" eb="6">
      <t>シラカワ</t>
    </rPh>
    <rPh sb="6" eb="8">
      <t>デンポウ</t>
    </rPh>
    <rPh sb="8" eb="10">
      <t>デンワ</t>
    </rPh>
    <rPh sb="10" eb="11">
      <t>ト</t>
    </rPh>
    <rPh sb="11" eb="12">
      <t>アツカ</t>
    </rPh>
    <rPh sb="12" eb="13">
      <t>ショ</t>
    </rPh>
    <rPh sb="13" eb="15">
      <t>カイセツ</t>
    </rPh>
    <rPh sb="16" eb="18">
      <t>ショウワ</t>
    </rPh>
    <rPh sb="20" eb="21">
      <t>ネン</t>
    </rPh>
    <rPh sb="28" eb="31">
      <t>ユウビンキョク</t>
    </rPh>
    <rPh sb="32" eb="34">
      <t>ショウカク</t>
    </rPh>
    <phoneticPr fontId="2"/>
  </si>
  <si>
    <t>白川</t>
    <rPh sb="0" eb="2">
      <t>シラカワ</t>
    </rPh>
    <phoneticPr fontId="2"/>
  </si>
  <si>
    <t>白木町</t>
    <rPh sb="0" eb="2">
      <t>シラキ</t>
    </rPh>
    <rPh sb="2" eb="3">
      <t>チョウ</t>
    </rPh>
    <phoneticPr fontId="2"/>
  </si>
  <si>
    <t>白川電報電話取扱所</t>
  </si>
  <si>
    <t>亀山製絲株式会社が、一部の工場を残して軍需工場に転用を命じられる</t>
    <rPh sb="10" eb="12">
      <t>イチブ</t>
    </rPh>
    <rPh sb="13" eb="15">
      <t>コウジョウ</t>
    </rPh>
    <rPh sb="16" eb="17">
      <t>ノコ</t>
    </rPh>
    <rPh sb="19" eb="21">
      <t>グンジュ</t>
    </rPh>
    <rPh sb="21" eb="23">
      <t>コウジョウ</t>
    </rPh>
    <rPh sb="24" eb="26">
      <t>テンヨウ</t>
    </rPh>
    <rPh sb="27" eb="28">
      <t>メイ</t>
    </rPh>
    <phoneticPr fontId="2"/>
  </si>
  <si>
    <t>東御幸町</t>
    <rPh sb="0" eb="1">
      <t>ヒガシ</t>
    </rPh>
    <rPh sb="1" eb="3">
      <t>ミユキ</t>
    </rPh>
    <rPh sb="3" eb="4">
      <t>チョウ</t>
    </rPh>
    <phoneticPr fontId="2"/>
  </si>
  <si>
    <t>亀山製絲株式会社</t>
  </si>
  <si>
    <t>『亀山のあゆみ』P.76・年表
『亀山市史』通史　近代現代</t>
    <rPh sb="13" eb="15">
      <t>ネンピョウ</t>
    </rPh>
    <rPh sb="16" eb="29">
      <t>ツ</t>
    </rPh>
    <phoneticPr fontId="2"/>
  </si>
  <si>
    <t>神辺村役場が布気落針から太岡寺町へ新築移転する</t>
    <rPh sb="0" eb="2">
      <t>カンベ</t>
    </rPh>
    <rPh sb="2" eb="3">
      <t>ムラ</t>
    </rPh>
    <rPh sb="3" eb="5">
      <t>ヤクバ</t>
    </rPh>
    <rPh sb="6" eb="7">
      <t>ヌノ</t>
    </rPh>
    <rPh sb="7" eb="8">
      <t>キ</t>
    </rPh>
    <rPh sb="8" eb="10">
      <t>オチバリ</t>
    </rPh>
    <rPh sb="12" eb="16">
      <t>タイコウジチョウ</t>
    </rPh>
    <rPh sb="17" eb="19">
      <t>シンチク</t>
    </rPh>
    <rPh sb="19" eb="21">
      <t>イテン</t>
    </rPh>
    <phoneticPr fontId="2"/>
  </si>
  <si>
    <t>太岡寺町</t>
    <phoneticPr fontId="2"/>
  </si>
  <si>
    <t>神辺村役場</t>
  </si>
  <si>
    <t>『亀山のあゆみ』P.76・年表</t>
    <phoneticPr fontId="2"/>
  </si>
  <si>
    <t>昭和19</t>
  </si>
  <si>
    <t>関町新所に鈴鹿海軍工廠の地下工場を建設開始</t>
    <rPh sb="5" eb="7">
      <t>スズカ</t>
    </rPh>
    <rPh sb="7" eb="9">
      <t>カイグン</t>
    </rPh>
    <rPh sb="9" eb="11">
      <t>コウショウ</t>
    </rPh>
    <rPh sb="12" eb="14">
      <t>チカ</t>
    </rPh>
    <rPh sb="14" eb="16">
      <t>コウジョウ</t>
    </rPh>
    <rPh sb="17" eb="19">
      <t>ケンセツ</t>
    </rPh>
    <rPh sb="19" eb="21">
      <t>カイシ</t>
    </rPh>
    <phoneticPr fontId="2"/>
  </si>
  <si>
    <t>鈴鹿海軍工廠関工場跡</t>
    <phoneticPr fontId="2"/>
  </si>
  <si>
    <t>日本の歴史の中の亀山／近代の亀山／第２次世界大戦と亀山／防空工場（地下壕）</t>
    <rPh sb="28" eb="30">
      <t>ボウクウ</t>
    </rPh>
    <rPh sb="30" eb="32">
      <t>コウジョウ</t>
    </rPh>
    <rPh sb="33" eb="36">
      <t>チカゴウ</t>
    </rPh>
    <phoneticPr fontId="2"/>
  </si>
  <si>
    <t>http://kameyamarekihaku.jp/kodomo/w_e_b/rekishi/kindai/sekaitaisen2/page003.html</t>
  </si>
  <si>
    <t>『三重の戦争遺跡』
『亀山市史』考古分野</t>
    <rPh sb="1" eb="3">
      <t>ミエ</t>
    </rPh>
    <rPh sb="4" eb="6">
      <t>センソウ</t>
    </rPh>
    <rPh sb="6" eb="8">
      <t>イセキ</t>
    </rPh>
    <rPh sb="10" eb="20">
      <t>カ</t>
    </rPh>
    <phoneticPr fontId="2"/>
  </si>
  <si>
    <t>学徒動員で、鈴鹿高等女学校４年生が三菱航空機千代崎工場で海軍戦闘機「雷電」の組立作業に従事</t>
    <rPh sb="0" eb="2">
      <t>ガクト</t>
    </rPh>
    <rPh sb="2" eb="4">
      <t>ドウイン</t>
    </rPh>
    <rPh sb="6" eb="8">
      <t>スズカ</t>
    </rPh>
    <rPh sb="8" eb="10">
      <t>コウトウ</t>
    </rPh>
    <rPh sb="10" eb="13">
      <t>ジョガッコウ</t>
    </rPh>
    <rPh sb="14" eb="16">
      <t>ネンセイ</t>
    </rPh>
    <rPh sb="17" eb="19">
      <t>ミツビシ</t>
    </rPh>
    <rPh sb="19" eb="21">
      <t>コウクウ</t>
    </rPh>
    <rPh sb="21" eb="22">
      <t>キ</t>
    </rPh>
    <rPh sb="22" eb="25">
      <t>チヨザキ</t>
    </rPh>
    <rPh sb="25" eb="27">
      <t>コウジョウ</t>
    </rPh>
    <rPh sb="28" eb="30">
      <t>カイグン</t>
    </rPh>
    <rPh sb="30" eb="33">
      <t>セントウキ</t>
    </rPh>
    <rPh sb="34" eb="36">
      <t>ライデン</t>
    </rPh>
    <rPh sb="38" eb="40">
      <t>クミタテ</t>
    </rPh>
    <rPh sb="40" eb="42">
      <t>サギョウ</t>
    </rPh>
    <rPh sb="43" eb="45">
      <t>ジュウジ</t>
    </rPh>
    <phoneticPr fontId="2"/>
  </si>
  <si>
    <t>亀山実業学校3年生が鈴鹿海軍工廠に学徒動員
1，2年生は川崎方面暗きょ排水工事勤労奉仕と北伊勢陸軍飛行場整地作業に従事</t>
    <rPh sb="0" eb="2">
      <t>カメヤマ</t>
    </rPh>
    <rPh sb="2" eb="3">
      <t>ジツ</t>
    </rPh>
    <rPh sb="3" eb="4">
      <t>ギョウ</t>
    </rPh>
    <rPh sb="4" eb="6">
      <t>ガッコウ</t>
    </rPh>
    <rPh sb="7" eb="9">
      <t>ネンセイ</t>
    </rPh>
    <rPh sb="10" eb="12">
      <t>スズカ</t>
    </rPh>
    <rPh sb="12" eb="14">
      <t>カイグン</t>
    </rPh>
    <rPh sb="14" eb="16">
      <t>コウショウ</t>
    </rPh>
    <rPh sb="17" eb="19">
      <t>ガクト</t>
    </rPh>
    <rPh sb="19" eb="21">
      <t>ドウイン</t>
    </rPh>
    <rPh sb="25" eb="27">
      <t>ネンセイ</t>
    </rPh>
    <rPh sb="28" eb="30">
      <t>カワサキ</t>
    </rPh>
    <rPh sb="30" eb="32">
      <t>ホウメン</t>
    </rPh>
    <rPh sb="32" eb="33">
      <t>アン</t>
    </rPh>
    <rPh sb="35" eb="37">
      <t>ハイスイ</t>
    </rPh>
    <rPh sb="37" eb="39">
      <t>コウジ</t>
    </rPh>
    <rPh sb="39" eb="41">
      <t>キンロウ</t>
    </rPh>
    <rPh sb="41" eb="43">
      <t>ホウシ</t>
    </rPh>
    <rPh sb="52" eb="54">
      <t>セイチ</t>
    </rPh>
    <rPh sb="54" eb="56">
      <t>サギョウ</t>
    </rPh>
    <rPh sb="57" eb="59">
      <t>ジュウジ</t>
    </rPh>
    <phoneticPr fontId="2"/>
  </si>
  <si>
    <t>亀山実業学校</t>
    <phoneticPr fontId="2"/>
  </si>
  <si>
    <t>日本の歴史の中の亀山／近代の亀山／第２次世界大戦と亀山／防空工場（地下壕）</t>
    <rPh sb="17" eb="18">
      <t>ダイ</t>
    </rPh>
    <rPh sb="19" eb="20">
      <t>ジ</t>
    </rPh>
    <rPh sb="20" eb="22">
      <t>セカイ</t>
    </rPh>
    <rPh sb="22" eb="24">
      <t>タイセン</t>
    </rPh>
    <rPh sb="25" eb="27">
      <t>カメヤマ</t>
    </rPh>
    <rPh sb="28" eb="30">
      <t>ボウクウ</t>
    </rPh>
    <rPh sb="30" eb="32">
      <t>コウジョウ</t>
    </rPh>
    <rPh sb="33" eb="36">
      <t>チカゴウ</t>
    </rPh>
    <phoneticPr fontId="2"/>
  </si>
  <si>
    <t>『亀山のあゆみ』年表
『亀山市史』通史　近代現代</t>
    <rPh sb="8" eb="10">
      <t>ネンピョウ</t>
    </rPh>
    <rPh sb="11" eb="24">
      <t>ツ</t>
    </rPh>
    <phoneticPr fontId="2"/>
  </si>
  <si>
    <t>名古屋から集団疎開を受け入れる（西町善導寺・市ヶ坂梅巌寺・野村光明寺・東町福泉寺・同町法因寺で受入）</t>
    <rPh sb="0" eb="3">
      <t>ナゴヤ</t>
    </rPh>
    <rPh sb="5" eb="7">
      <t>シュウダン</t>
    </rPh>
    <rPh sb="7" eb="9">
      <t>ソカイ</t>
    </rPh>
    <rPh sb="10" eb="11">
      <t>ウ</t>
    </rPh>
    <rPh sb="12" eb="13">
      <t>イ</t>
    </rPh>
    <rPh sb="16" eb="17">
      <t>ニシ</t>
    </rPh>
    <rPh sb="17" eb="18">
      <t>マチ</t>
    </rPh>
    <rPh sb="18" eb="19">
      <t>ゼン</t>
    </rPh>
    <rPh sb="19" eb="20">
      <t>ミチビ</t>
    </rPh>
    <rPh sb="20" eb="21">
      <t>テラ</t>
    </rPh>
    <rPh sb="22" eb="23">
      <t>イチ</t>
    </rPh>
    <rPh sb="24" eb="25">
      <t>サカ</t>
    </rPh>
    <rPh sb="25" eb="26">
      <t>ウメ</t>
    </rPh>
    <rPh sb="26" eb="27">
      <t>イワオ</t>
    </rPh>
    <rPh sb="27" eb="28">
      <t>テラ</t>
    </rPh>
    <rPh sb="29" eb="31">
      <t>ノムラ</t>
    </rPh>
    <rPh sb="31" eb="34">
      <t>コウミョウジ</t>
    </rPh>
    <rPh sb="35" eb="37">
      <t>ヒガシマチ</t>
    </rPh>
    <rPh sb="37" eb="38">
      <t>フク</t>
    </rPh>
    <rPh sb="38" eb="39">
      <t>イズミ</t>
    </rPh>
    <rPh sb="39" eb="40">
      <t>テラ</t>
    </rPh>
    <rPh sb="41" eb="42">
      <t>ドウ</t>
    </rPh>
    <rPh sb="42" eb="43">
      <t>マチ</t>
    </rPh>
    <rPh sb="43" eb="44">
      <t>ホウ</t>
    </rPh>
    <rPh sb="44" eb="45">
      <t>イン</t>
    </rPh>
    <rPh sb="45" eb="46">
      <t>テラ</t>
    </rPh>
    <rPh sb="47" eb="48">
      <t>ウ</t>
    </rPh>
    <rPh sb="48" eb="49">
      <t>イ</t>
    </rPh>
    <phoneticPr fontId="2"/>
  </si>
  <si>
    <t>亀山西・亀山東</t>
    <rPh sb="2" eb="3">
      <t>ニシ</t>
    </rPh>
    <rPh sb="4" eb="6">
      <t>カメヤマ</t>
    </rPh>
    <rPh sb="6" eb="7">
      <t>ヒガシ</t>
    </rPh>
    <phoneticPr fontId="2"/>
  </si>
  <si>
    <t>西町・市ヶ坂町・野村・</t>
    <rPh sb="6" eb="7">
      <t>チョウ</t>
    </rPh>
    <phoneticPr fontId="2"/>
  </si>
  <si>
    <t>日本の歴史の中の亀山／近代の亀山／第２次世界大戦と亀山／集団学童疎開</t>
    <rPh sb="28" eb="30">
      <t>シュウダン</t>
    </rPh>
    <rPh sb="30" eb="32">
      <t>ガクドウ</t>
    </rPh>
    <rPh sb="32" eb="34">
      <t>ソカイ</t>
    </rPh>
    <phoneticPr fontId="2"/>
  </si>
  <si>
    <t>http://kameyamarekihaku.jp/kodomo/w_e_b/rekishi/kindai/sekaitaisen2/page004.html</t>
  </si>
  <si>
    <t xml:space="preserve">『亀山のあゆみ』年表
『亀山市史』通史　近代現代
</t>
    <rPh sb="8" eb="10">
      <t>ネンピョウ</t>
    </rPh>
    <phoneticPr fontId="2"/>
  </si>
  <si>
    <t>光明寺</t>
    <rPh sb="0" eb="3">
      <t>コウミョウジ</t>
    </rPh>
    <phoneticPr fontId="2"/>
  </si>
  <si>
    <t>東町</t>
  </si>
  <si>
    <t>東南海大地震で県下に被害</t>
    <rPh sb="0" eb="2">
      <t>トウナン</t>
    </rPh>
    <rPh sb="2" eb="3">
      <t>ウミ</t>
    </rPh>
    <rPh sb="3" eb="6">
      <t>ダイジシン</t>
    </rPh>
    <rPh sb="7" eb="9">
      <t>ケンカ</t>
    </rPh>
    <rPh sb="10" eb="12">
      <t>ヒガイ</t>
    </rPh>
    <phoneticPr fontId="2"/>
  </si>
  <si>
    <t>『亀山のあゆみ』</t>
    <phoneticPr fontId="2"/>
  </si>
  <si>
    <t>坂下電報電話取扱所開設</t>
    <rPh sb="0" eb="2">
      <t>サカシタ</t>
    </rPh>
    <rPh sb="2" eb="4">
      <t>デンポウ</t>
    </rPh>
    <rPh sb="4" eb="6">
      <t>デンワ</t>
    </rPh>
    <rPh sb="6" eb="8">
      <t>トリアツカイ</t>
    </rPh>
    <rPh sb="8" eb="9">
      <t>ショ</t>
    </rPh>
    <rPh sb="9" eb="11">
      <t>カイセツ</t>
    </rPh>
    <phoneticPr fontId="2"/>
  </si>
  <si>
    <t>関町沓掛</t>
    <rPh sb="0" eb="1">
      <t>セキ</t>
    </rPh>
    <rPh sb="1" eb="2">
      <t>チョウ</t>
    </rPh>
    <rPh sb="2" eb="4">
      <t>クツカケ</t>
    </rPh>
    <phoneticPr fontId="2"/>
  </si>
  <si>
    <t>坂下電報電話取扱所</t>
    <phoneticPr fontId="2"/>
  </si>
  <si>
    <t>関・加太・白川の青年学校を併合し、鈴西青年学校となる</t>
    <rPh sb="0" eb="1">
      <t>セキ</t>
    </rPh>
    <rPh sb="2" eb="4">
      <t>カブト</t>
    </rPh>
    <rPh sb="5" eb="7">
      <t>シラカワ</t>
    </rPh>
    <rPh sb="8" eb="10">
      <t>セイネン</t>
    </rPh>
    <rPh sb="10" eb="12">
      <t>ガッコウ</t>
    </rPh>
    <rPh sb="13" eb="15">
      <t>ヘイゴウ</t>
    </rPh>
    <rPh sb="17" eb="18">
      <t>スズ</t>
    </rPh>
    <rPh sb="18" eb="19">
      <t>ニシ</t>
    </rPh>
    <rPh sb="19" eb="21">
      <t>セイネン</t>
    </rPh>
    <rPh sb="21" eb="23">
      <t>ガッコウ</t>
    </rPh>
    <phoneticPr fontId="2"/>
  </si>
  <si>
    <t>関・加太・白川</t>
    <rPh sb="2" eb="4">
      <t>カブト</t>
    </rPh>
    <rPh sb="5" eb="7">
      <t>シラカワ</t>
    </rPh>
    <phoneticPr fontId="2"/>
  </si>
  <si>
    <t>鈴西青年学校</t>
    <phoneticPr fontId="2"/>
  </si>
  <si>
    <t>昭和20</t>
  </si>
  <si>
    <t>亀山実校西丸校舎が鈴鹿海軍工廠亀山分工場となる</t>
    <rPh sb="0" eb="2">
      <t>カメヤマ</t>
    </rPh>
    <rPh sb="2" eb="3">
      <t>ジツ</t>
    </rPh>
    <rPh sb="3" eb="4">
      <t>コウ</t>
    </rPh>
    <rPh sb="4" eb="6">
      <t>ニシマル</t>
    </rPh>
    <rPh sb="6" eb="8">
      <t>コウシャ</t>
    </rPh>
    <rPh sb="9" eb="11">
      <t>スズカ</t>
    </rPh>
    <rPh sb="11" eb="13">
      <t>カイグン</t>
    </rPh>
    <rPh sb="13" eb="15">
      <t>コウショウ</t>
    </rPh>
    <rPh sb="15" eb="17">
      <t>カメヤマ</t>
    </rPh>
    <rPh sb="17" eb="18">
      <t>ブン</t>
    </rPh>
    <rPh sb="18" eb="20">
      <t>コウジョウ</t>
    </rPh>
    <phoneticPr fontId="2"/>
  </si>
  <si>
    <t>西丸町</t>
    <rPh sb="0" eb="1">
      <t>ニシ</t>
    </rPh>
    <rPh sb="1" eb="2">
      <t>マル</t>
    </rPh>
    <rPh sb="2" eb="3">
      <t>チョウ</t>
    </rPh>
    <phoneticPr fontId="2"/>
  </si>
  <si>
    <t>鈴鹿海軍工廠亀山分工場</t>
    <phoneticPr fontId="2"/>
  </si>
  <si>
    <t>亀山町立幼稚園を国立に移管し、三重師範学校女子部付属幼稚園と改称</t>
    <rPh sb="0" eb="2">
      <t>カメヤマ</t>
    </rPh>
    <rPh sb="2" eb="3">
      <t>マチ</t>
    </rPh>
    <rPh sb="3" eb="4">
      <t>リツ</t>
    </rPh>
    <rPh sb="4" eb="7">
      <t>ヨウチエン</t>
    </rPh>
    <rPh sb="8" eb="10">
      <t>コクリツ</t>
    </rPh>
    <rPh sb="11" eb="13">
      <t>イカン</t>
    </rPh>
    <rPh sb="15" eb="17">
      <t>ミエ</t>
    </rPh>
    <rPh sb="17" eb="19">
      <t>シハン</t>
    </rPh>
    <rPh sb="19" eb="21">
      <t>ガッコウ</t>
    </rPh>
    <rPh sb="21" eb="23">
      <t>ジョシ</t>
    </rPh>
    <rPh sb="23" eb="24">
      <t>ブ</t>
    </rPh>
    <rPh sb="24" eb="26">
      <t>フゾク</t>
    </rPh>
    <rPh sb="26" eb="29">
      <t>ヨウチエン</t>
    </rPh>
    <rPh sb="30" eb="32">
      <t>カイショウ</t>
    </rPh>
    <phoneticPr fontId="2"/>
  </si>
  <si>
    <t>三重師範学校女子部付属幼稚園</t>
  </si>
  <si>
    <t>日本の歴史の中の亀山／現代の亀山／教育と医療・福祉／幼稚園</t>
    <phoneticPr fontId="2"/>
  </si>
  <si>
    <t>『亀山のあゆみ』P.84・P.391・年表</t>
    <rPh sb="19" eb="21">
      <t>ネンピョウ</t>
    </rPh>
    <phoneticPr fontId="2"/>
  </si>
  <si>
    <t>名古屋から集団疎開を受け入れる（集団疎開第二隊、西町遍照寺・東町福泉寺・同町法因寺で受入）</t>
    <rPh sb="16" eb="18">
      <t>シュウダン</t>
    </rPh>
    <rPh sb="18" eb="20">
      <t>ソカイ</t>
    </rPh>
    <rPh sb="20" eb="21">
      <t>ダイ</t>
    </rPh>
    <rPh sb="21" eb="22">
      <t>フタ</t>
    </rPh>
    <rPh sb="22" eb="23">
      <t>タイ</t>
    </rPh>
    <rPh sb="24" eb="25">
      <t>ニシ</t>
    </rPh>
    <rPh sb="25" eb="26">
      <t>マチ</t>
    </rPh>
    <rPh sb="26" eb="27">
      <t>ヘン</t>
    </rPh>
    <rPh sb="27" eb="28">
      <t>テル</t>
    </rPh>
    <rPh sb="28" eb="29">
      <t>テラ</t>
    </rPh>
    <rPh sb="30" eb="31">
      <t>ヒガシ</t>
    </rPh>
    <rPh sb="31" eb="32">
      <t>マチ</t>
    </rPh>
    <rPh sb="32" eb="33">
      <t>フク</t>
    </rPh>
    <rPh sb="33" eb="34">
      <t>イズミ</t>
    </rPh>
    <rPh sb="34" eb="35">
      <t>テラ</t>
    </rPh>
    <rPh sb="36" eb="37">
      <t>ドウ</t>
    </rPh>
    <rPh sb="37" eb="38">
      <t>マチ</t>
    </rPh>
    <rPh sb="38" eb="39">
      <t>ホウ</t>
    </rPh>
    <rPh sb="39" eb="40">
      <t>イン</t>
    </rPh>
    <rPh sb="40" eb="41">
      <t>テラ</t>
    </rPh>
    <rPh sb="42" eb="44">
      <t>ウケイレ</t>
    </rPh>
    <phoneticPr fontId="2"/>
  </si>
  <si>
    <t>西町</t>
    <phoneticPr fontId="2"/>
  </si>
  <si>
    <t>日本の歴史の中の亀山／近代の亀山／第２次世界大戦と亀山／集団学童疎開</t>
    <phoneticPr fontId="2"/>
  </si>
  <si>
    <t>『亀山のあゆみ』年表
『亀山市史』通史　近代現代</t>
    <rPh sb="8" eb="10">
      <t>ネンピョウ</t>
    </rPh>
    <rPh sb="11" eb="24">
      <t>ゲ</t>
    </rPh>
    <phoneticPr fontId="2"/>
  </si>
  <si>
    <t>阿野田で列車がアメリカ軍飛行機の攻撃を受ける</t>
    <phoneticPr fontId="2"/>
  </si>
  <si>
    <t>亀山東</t>
    <rPh sb="0" eb="2">
      <t>カメヤマ</t>
    </rPh>
    <phoneticPr fontId="2"/>
  </si>
  <si>
    <t>阿野田町</t>
  </si>
  <si>
    <t>列車が攻撃されたときの薬莢
銃撃模式図パネル</t>
    <rPh sb="0" eb="2">
      <t>レッシャ</t>
    </rPh>
    <rPh sb="3" eb="5">
      <t>コウゲキ</t>
    </rPh>
    <rPh sb="11" eb="13">
      <t>ヤッキョウ</t>
    </rPh>
    <rPh sb="14" eb="16">
      <t>ジュウゲキ</t>
    </rPh>
    <rPh sb="16" eb="19">
      <t>モシキズ</t>
    </rPh>
    <phoneticPr fontId="2"/>
  </si>
  <si>
    <t>日本の歴史の中の亀山／近代の亀山／第２次世界大戦と亀山／機関車襲撃</t>
    <rPh sb="28" eb="31">
      <t>キカンシャ</t>
    </rPh>
    <rPh sb="31" eb="33">
      <t>シュウゲキ</t>
    </rPh>
    <phoneticPr fontId="2"/>
  </si>
  <si>
    <t>http://kameyamarekihaku.jp/kodomo/w_e_b/rekishi/kindai/sekaitaisen2/page005.html</t>
  </si>
  <si>
    <t>『亀山市史』通史 近代・現代
『三重の戦争遺跡』
『亀山のあゆみ』P.76</t>
    <rPh sb="1" eb="4">
      <t>カメヤマシ</t>
    </rPh>
    <rPh sb="4" eb="5">
      <t>シ</t>
    </rPh>
    <rPh sb="6" eb="8">
      <t>ツウシ</t>
    </rPh>
    <rPh sb="9" eb="11">
      <t>キンダイ</t>
    </rPh>
    <rPh sb="12" eb="14">
      <t>ゲンダイ</t>
    </rPh>
    <rPh sb="16" eb="18">
      <t>ミエ</t>
    </rPh>
    <rPh sb="19" eb="21">
      <t>センソウ</t>
    </rPh>
    <rPh sb="21" eb="23">
      <t>イセキ</t>
    </rPh>
    <rPh sb="26" eb="28">
      <t>カメヤマ</t>
    </rPh>
    <phoneticPr fontId="2"/>
  </si>
  <si>
    <t>広島・長崎に原子爆弾が投下される
 連合国軍に降伏する</t>
    <phoneticPr fontId="2"/>
  </si>
  <si>
    <t>東町の三重師範女子部に併設されていた三重青年師範学校女子部が松阪市に移転</t>
    <rPh sb="0" eb="2">
      <t>ヒガシマチ</t>
    </rPh>
    <rPh sb="3" eb="5">
      <t>ミエ</t>
    </rPh>
    <rPh sb="5" eb="7">
      <t>シハン</t>
    </rPh>
    <rPh sb="7" eb="9">
      <t>ジョシ</t>
    </rPh>
    <rPh sb="9" eb="10">
      <t>ブ</t>
    </rPh>
    <rPh sb="11" eb="13">
      <t>ヘイセツ</t>
    </rPh>
    <rPh sb="18" eb="20">
      <t>ミエ</t>
    </rPh>
    <rPh sb="20" eb="22">
      <t>セイネン</t>
    </rPh>
    <rPh sb="22" eb="24">
      <t>シハン</t>
    </rPh>
    <rPh sb="24" eb="26">
      <t>ガッコウ</t>
    </rPh>
    <rPh sb="26" eb="28">
      <t>ジョシ</t>
    </rPh>
    <rPh sb="28" eb="29">
      <t>ブ</t>
    </rPh>
    <rPh sb="30" eb="32">
      <t>マツザカ</t>
    </rPh>
    <rPh sb="32" eb="33">
      <t>シ</t>
    </rPh>
    <rPh sb="34" eb="36">
      <t>イテン</t>
    </rPh>
    <phoneticPr fontId="2"/>
  </si>
  <si>
    <t>三重青年師範学校女子部</t>
    <phoneticPr fontId="2"/>
  </si>
  <si>
    <t>昭和21</t>
  </si>
  <si>
    <t>平和と民主主義の国を目ざす改革が行われる</t>
  </si>
  <si>
    <t>日本国憲法が公布される</t>
  </si>
  <si>
    <t>元陸軍北伊勢陸軍飛行場の兵舎を川崎村国民学校校舎に転用、移転</t>
    <rPh sb="0" eb="1">
      <t>モト</t>
    </rPh>
    <rPh sb="1" eb="3">
      <t>リクグン</t>
    </rPh>
    <rPh sb="12" eb="14">
      <t>ヘイシャ</t>
    </rPh>
    <rPh sb="15" eb="17">
      <t>カワサキ</t>
    </rPh>
    <rPh sb="17" eb="18">
      <t>ムラ</t>
    </rPh>
    <rPh sb="18" eb="20">
      <t>コクミン</t>
    </rPh>
    <rPh sb="20" eb="22">
      <t>ガッコウ</t>
    </rPh>
    <rPh sb="22" eb="24">
      <t>コウシャ</t>
    </rPh>
    <rPh sb="25" eb="27">
      <t>テンヨウ</t>
    </rPh>
    <rPh sb="28" eb="30">
      <t>イテン</t>
    </rPh>
    <phoneticPr fontId="2"/>
  </si>
  <si>
    <t>川崎村国民学校</t>
    <phoneticPr fontId="2"/>
  </si>
  <si>
    <t>日本の歴史の中の亀山／近代の亀山／第２次世界大戦と亀山／北伊勢飛行場</t>
    <rPh sb="17" eb="18">
      <t>ダイ</t>
    </rPh>
    <rPh sb="19" eb="20">
      <t>ジ</t>
    </rPh>
    <rPh sb="20" eb="24">
      <t>セカイタイセン</t>
    </rPh>
    <rPh sb="25" eb="27">
      <t>カメヤマ</t>
    </rPh>
    <rPh sb="28" eb="29">
      <t>キタ</t>
    </rPh>
    <rPh sb="29" eb="31">
      <t>イセ</t>
    </rPh>
    <rPh sb="31" eb="34">
      <t>ヒコウジョウ</t>
    </rPh>
    <phoneticPr fontId="2"/>
  </si>
  <si>
    <t>白川電報電話取扱所が白川郵便局に昇格する</t>
    <rPh sb="0" eb="2">
      <t>シラカワ</t>
    </rPh>
    <rPh sb="2" eb="4">
      <t>デンポウ</t>
    </rPh>
    <rPh sb="4" eb="6">
      <t>デンワ</t>
    </rPh>
    <rPh sb="6" eb="7">
      <t>ト</t>
    </rPh>
    <rPh sb="7" eb="8">
      <t>アツカ</t>
    </rPh>
    <rPh sb="8" eb="9">
      <t>ショ</t>
    </rPh>
    <rPh sb="10" eb="12">
      <t>シラカワ</t>
    </rPh>
    <rPh sb="12" eb="15">
      <t>ユウビンキョク</t>
    </rPh>
    <rPh sb="16" eb="18">
      <t>ショウカク</t>
    </rPh>
    <phoneticPr fontId="2"/>
  </si>
  <si>
    <t>白木町</t>
    <phoneticPr fontId="2"/>
  </si>
  <si>
    <t>白川郵便局</t>
    <phoneticPr fontId="2"/>
  </si>
  <si>
    <t>東町に三重蚕種株式会社設立</t>
    <rPh sb="0" eb="2">
      <t>ヒガシマチ</t>
    </rPh>
    <rPh sb="3" eb="5">
      <t>ミエ</t>
    </rPh>
    <rPh sb="5" eb="6">
      <t>カイコ</t>
    </rPh>
    <rPh sb="6" eb="7">
      <t>タネ</t>
    </rPh>
    <rPh sb="7" eb="9">
      <t>カブシキ</t>
    </rPh>
    <rPh sb="9" eb="11">
      <t>カイシャ</t>
    </rPh>
    <rPh sb="11" eb="13">
      <t>セツリツ</t>
    </rPh>
    <phoneticPr fontId="2"/>
  </si>
  <si>
    <t>三重蚕種株式会社</t>
    <phoneticPr fontId="2"/>
  </si>
  <si>
    <t>『亀山のあゆみ』P.79・年表</t>
    <rPh sb="13" eb="15">
      <t>ネンピョウ</t>
    </rPh>
    <phoneticPr fontId="2"/>
  </si>
  <si>
    <t>東町福泉寺の本堂の一部を使用して亀山愛児園を開設
この地方初の保育所</t>
    <rPh sb="0" eb="2">
      <t>ヒガシマチ</t>
    </rPh>
    <rPh sb="2" eb="3">
      <t>フク</t>
    </rPh>
    <rPh sb="3" eb="4">
      <t>イズミ</t>
    </rPh>
    <rPh sb="4" eb="5">
      <t>テラ</t>
    </rPh>
    <rPh sb="6" eb="8">
      <t>ホンドウ</t>
    </rPh>
    <rPh sb="9" eb="11">
      <t>イチブ</t>
    </rPh>
    <rPh sb="12" eb="14">
      <t>シヨウ</t>
    </rPh>
    <rPh sb="16" eb="18">
      <t>カメヤマ</t>
    </rPh>
    <rPh sb="18" eb="20">
      <t>アイジ</t>
    </rPh>
    <rPh sb="20" eb="21">
      <t>エン</t>
    </rPh>
    <rPh sb="22" eb="24">
      <t>カイセツ</t>
    </rPh>
    <rPh sb="27" eb="29">
      <t>チホウ</t>
    </rPh>
    <rPh sb="29" eb="30">
      <t>ハツ</t>
    </rPh>
    <rPh sb="31" eb="33">
      <t>ホイク</t>
    </rPh>
    <rPh sb="33" eb="34">
      <t>ショ</t>
    </rPh>
    <phoneticPr fontId="2"/>
  </si>
  <si>
    <t>亀山愛児園</t>
    <phoneticPr fontId="2"/>
  </si>
  <si>
    <t>日本の歴史の中の亀山／現代の亀山／教育と医療・福祉／保育園</t>
    <phoneticPr fontId="2"/>
  </si>
  <si>
    <t>http://kameyamarekihaku.jp/kodomo/w_e_b/rekishi/gendai/kyoiku/page004.html</t>
  </si>
  <si>
    <t>『亀山のあゆみ』P.366・年表</t>
    <rPh sb="14" eb="16">
      <t>ネンピョウ</t>
    </rPh>
    <phoneticPr fontId="2"/>
  </si>
  <si>
    <t>栄町に亀山蠟燭株式会社設立</t>
    <rPh sb="0" eb="2">
      <t>サカエマチ</t>
    </rPh>
    <rPh sb="3" eb="5">
      <t>カメヤマ</t>
    </rPh>
    <rPh sb="5" eb="7">
      <t>ロウソク</t>
    </rPh>
    <rPh sb="7" eb="9">
      <t>カブシキ</t>
    </rPh>
    <rPh sb="9" eb="11">
      <t>カイシャ</t>
    </rPh>
    <rPh sb="11" eb="13">
      <t>セツリツ</t>
    </rPh>
    <phoneticPr fontId="2"/>
  </si>
  <si>
    <t>亀山蠟燭株式会社</t>
    <phoneticPr fontId="2"/>
  </si>
  <si>
    <t>加太郵便局が郵便の集配を始める</t>
    <rPh sb="0" eb="2">
      <t>カブト</t>
    </rPh>
    <rPh sb="2" eb="5">
      <t>ユウビンキョク</t>
    </rPh>
    <rPh sb="6" eb="8">
      <t>ユウビン</t>
    </rPh>
    <rPh sb="9" eb="11">
      <t>シュウハイ</t>
    </rPh>
    <rPh sb="12" eb="13">
      <t>ハジ</t>
    </rPh>
    <phoneticPr fontId="2"/>
  </si>
  <si>
    <t>加太郵便局</t>
    <phoneticPr fontId="2"/>
  </si>
  <si>
    <t>関町外四か村学校組合立鈴西青年学校を設置、同加太分校を設置</t>
    <rPh sb="0" eb="1">
      <t>セキ</t>
    </rPh>
    <rPh sb="1" eb="2">
      <t>マチ</t>
    </rPh>
    <rPh sb="2" eb="3">
      <t>ホカ</t>
    </rPh>
    <rPh sb="3" eb="4">
      <t>ヨン</t>
    </rPh>
    <rPh sb="5" eb="6">
      <t>ムラ</t>
    </rPh>
    <rPh sb="6" eb="8">
      <t>ガッコウ</t>
    </rPh>
    <rPh sb="8" eb="10">
      <t>クミアイ</t>
    </rPh>
    <rPh sb="10" eb="11">
      <t>リツ</t>
    </rPh>
    <rPh sb="11" eb="12">
      <t>スズ</t>
    </rPh>
    <rPh sb="12" eb="13">
      <t>ニシ</t>
    </rPh>
    <rPh sb="13" eb="15">
      <t>セイネン</t>
    </rPh>
    <rPh sb="15" eb="17">
      <t>ガッコウ</t>
    </rPh>
    <rPh sb="18" eb="20">
      <t>セッチ</t>
    </rPh>
    <rPh sb="21" eb="22">
      <t>ドウ</t>
    </rPh>
    <rPh sb="22" eb="24">
      <t>カブト</t>
    </rPh>
    <rPh sb="24" eb="26">
      <t>ブンコウ</t>
    </rPh>
    <rPh sb="27" eb="29">
      <t>セッチ</t>
    </rPh>
    <phoneticPr fontId="2"/>
  </si>
  <si>
    <t>鈴西青年学校
加太分校</t>
    <rPh sb="7" eb="9">
      <t>カブト</t>
    </rPh>
    <rPh sb="9" eb="11">
      <t>ブンコウ</t>
    </rPh>
    <phoneticPr fontId="2"/>
  </si>
  <si>
    <t>警察検問所を新所に設置</t>
    <rPh sb="0" eb="2">
      <t>ケイサツ</t>
    </rPh>
    <rPh sb="2" eb="5">
      <t>ケンモンジョ</t>
    </rPh>
    <rPh sb="6" eb="7">
      <t>シン</t>
    </rPh>
    <rPh sb="7" eb="8">
      <t>トコロ</t>
    </rPh>
    <rPh sb="9" eb="11">
      <t>セッチ</t>
    </rPh>
    <phoneticPr fontId="2"/>
  </si>
  <si>
    <t>警察検問所</t>
    <phoneticPr fontId="2"/>
  </si>
  <si>
    <t>坂下電報電話取扱所が坂下郵便局になる</t>
    <rPh sb="0" eb="2">
      <t>サカシタ</t>
    </rPh>
    <rPh sb="2" eb="4">
      <t>デンポウ</t>
    </rPh>
    <rPh sb="4" eb="6">
      <t>デンワ</t>
    </rPh>
    <rPh sb="6" eb="8">
      <t>トリアツカイ</t>
    </rPh>
    <rPh sb="8" eb="9">
      <t>ショ</t>
    </rPh>
    <rPh sb="10" eb="12">
      <t>サカシタ</t>
    </rPh>
    <rPh sb="12" eb="15">
      <t>ユウビンキョク</t>
    </rPh>
    <phoneticPr fontId="2"/>
  </si>
  <si>
    <t>坂下郵便局</t>
    <phoneticPr fontId="2"/>
  </si>
  <si>
    <t>日本の歴史の中の亀山／現代の亀山／交通と通信／電話（電報電話局）</t>
    <phoneticPr fontId="2"/>
  </si>
  <si>
    <t>昭和22</t>
  </si>
  <si>
    <t>鈴鹿高女で味噌汁給食始まる</t>
    <rPh sb="0" eb="2">
      <t>スズカ</t>
    </rPh>
    <rPh sb="2" eb="4">
      <t>コウジョ</t>
    </rPh>
    <rPh sb="5" eb="8">
      <t>ミソシル</t>
    </rPh>
    <rPh sb="8" eb="10">
      <t>キュウショク</t>
    </rPh>
    <rPh sb="10" eb="11">
      <t>ハジ</t>
    </rPh>
    <phoneticPr fontId="2"/>
  </si>
  <si>
    <t>鈴鹿高等女学校</t>
    <rPh sb="3" eb="4">
      <t>ナド</t>
    </rPh>
    <rPh sb="4" eb="5">
      <t>オンナ</t>
    </rPh>
    <rPh sb="5" eb="7">
      <t>ガッコウ</t>
    </rPh>
    <phoneticPr fontId="2"/>
  </si>
  <si>
    <t>6・3・3制の教育がはじまる</t>
    <phoneticPr fontId="2"/>
  </si>
  <si>
    <t>学制改革により各国民学校を廃止し、初等科を各小学校に、高等科を各中学校とし、従前の校舎を使用</t>
    <rPh sb="0" eb="2">
      <t>ガクセイ</t>
    </rPh>
    <rPh sb="2" eb="4">
      <t>カイカク</t>
    </rPh>
    <rPh sb="7" eb="8">
      <t>カク</t>
    </rPh>
    <rPh sb="8" eb="10">
      <t>コクミン</t>
    </rPh>
    <rPh sb="10" eb="12">
      <t>ガッコウ</t>
    </rPh>
    <rPh sb="13" eb="15">
      <t>ハイシ</t>
    </rPh>
    <rPh sb="17" eb="20">
      <t>ショトウカ</t>
    </rPh>
    <rPh sb="21" eb="22">
      <t>カク</t>
    </rPh>
    <rPh sb="22" eb="25">
      <t>ショウガッコウ</t>
    </rPh>
    <rPh sb="27" eb="30">
      <t>コウトウカ</t>
    </rPh>
    <rPh sb="31" eb="32">
      <t>カク</t>
    </rPh>
    <rPh sb="32" eb="35">
      <t>チュウガッコウ</t>
    </rPh>
    <rPh sb="38" eb="40">
      <t>ジュウゼン</t>
    </rPh>
    <rPh sb="41" eb="43">
      <t>コウシャ</t>
    </rPh>
    <rPh sb="44" eb="46">
      <t>シヨウ</t>
    </rPh>
    <phoneticPr fontId="2"/>
  </si>
  <si>
    <t>日本の歴史の中の亀山／現代の亀山／教育と医療福祉／学制の改編</t>
    <rPh sb="17" eb="19">
      <t>キョウイク</t>
    </rPh>
    <rPh sb="20" eb="22">
      <t>イリョウ</t>
    </rPh>
    <rPh sb="22" eb="24">
      <t>フクシ</t>
    </rPh>
    <rPh sb="25" eb="27">
      <t>ガクセイ</t>
    </rPh>
    <rPh sb="28" eb="30">
      <t>カイヘン</t>
    </rPh>
    <phoneticPr fontId="2"/>
  </si>
  <si>
    <t>http://kameyamarekihaku.jp/kodomo/w_e_b/rekishi/gendai/kyoiku/page001.html</t>
  </si>
  <si>
    <t>『亀山のあゆみ』P.86・年表</t>
    <rPh sb="13" eb="15">
      <t>ネンピョウ</t>
    </rPh>
    <phoneticPr fontId="2"/>
  </si>
  <si>
    <t>亀山町民生事業後援会を設立
厚生館（後に社会館と改称）共同作業所（授産所）愛護園を西町善導寺内で経営
また、南崎に厚生館母子寮（現在の第一愛護園の地）を建設</t>
    <rPh sb="0" eb="3">
      <t>カメヤマチョウ</t>
    </rPh>
    <rPh sb="3" eb="5">
      <t>ミンセイ</t>
    </rPh>
    <rPh sb="5" eb="7">
      <t>ジギョウ</t>
    </rPh>
    <rPh sb="7" eb="10">
      <t>コウエンカイ</t>
    </rPh>
    <rPh sb="11" eb="13">
      <t>セツリツ</t>
    </rPh>
    <rPh sb="14" eb="16">
      <t>コウセイ</t>
    </rPh>
    <rPh sb="16" eb="17">
      <t>ヤカタ</t>
    </rPh>
    <rPh sb="18" eb="19">
      <t>ノチ</t>
    </rPh>
    <rPh sb="20" eb="22">
      <t>シャカイ</t>
    </rPh>
    <rPh sb="22" eb="23">
      <t>ヤカタ</t>
    </rPh>
    <rPh sb="24" eb="26">
      <t>カイショウ</t>
    </rPh>
    <rPh sb="27" eb="29">
      <t>キョウドウ</t>
    </rPh>
    <rPh sb="29" eb="31">
      <t>サギョウ</t>
    </rPh>
    <rPh sb="31" eb="32">
      <t>ショ</t>
    </rPh>
    <rPh sb="33" eb="34">
      <t>ジュ</t>
    </rPh>
    <rPh sb="34" eb="35">
      <t>サン</t>
    </rPh>
    <rPh sb="35" eb="36">
      <t>ショ</t>
    </rPh>
    <rPh sb="37" eb="38">
      <t>アイ</t>
    </rPh>
    <rPh sb="38" eb="39">
      <t>マモル</t>
    </rPh>
    <rPh sb="39" eb="40">
      <t>エン</t>
    </rPh>
    <rPh sb="41" eb="42">
      <t>ニシ</t>
    </rPh>
    <rPh sb="42" eb="43">
      <t>マチ</t>
    </rPh>
    <rPh sb="43" eb="44">
      <t>ゼン</t>
    </rPh>
    <rPh sb="44" eb="45">
      <t>ミチビ</t>
    </rPh>
    <rPh sb="45" eb="46">
      <t>テラ</t>
    </rPh>
    <rPh sb="46" eb="47">
      <t>ナイ</t>
    </rPh>
    <rPh sb="48" eb="50">
      <t>ケイエイ</t>
    </rPh>
    <rPh sb="54" eb="55">
      <t>ミナミ</t>
    </rPh>
    <rPh sb="55" eb="56">
      <t>サキ</t>
    </rPh>
    <rPh sb="57" eb="59">
      <t>コウセイ</t>
    </rPh>
    <rPh sb="59" eb="60">
      <t>ヤカタ</t>
    </rPh>
    <rPh sb="60" eb="62">
      <t>ボシ</t>
    </rPh>
    <rPh sb="62" eb="63">
      <t>リョウ</t>
    </rPh>
    <rPh sb="64" eb="66">
      <t>ゲンザイ</t>
    </rPh>
    <rPh sb="67" eb="69">
      <t>ダイイチ</t>
    </rPh>
    <rPh sb="69" eb="70">
      <t>アイ</t>
    </rPh>
    <rPh sb="70" eb="71">
      <t>マモル</t>
    </rPh>
    <rPh sb="71" eb="72">
      <t>エン</t>
    </rPh>
    <rPh sb="73" eb="74">
      <t>チ</t>
    </rPh>
    <rPh sb="76" eb="78">
      <t>ケンセツ</t>
    </rPh>
    <phoneticPr fontId="2"/>
  </si>
  <si>
    <t>西町・南崎町</t>
    <rPh sb="0" eb="1">
      <t>ニシ</t>
    </rPh>
    <rPh sb="1" eb="2">
      <t>マチ</t>
    </rPh>
    <rPh sb="3" eb="4">
      <t>ミナミ</t>
    </rPh>
    <rPh sb="4" eb="5">
      <t>ザキ</t>
    </rPh>
    <rPh sb="5" eb="6">
      <t>チョウ</t>
    </rPh>
    <phoneticPr fontId="2"/>
  </si>
  <si>
    <t>厚生館・共同作業所愛護園・厚生館母子寮</t>
    <phoneticPr fontId="2"/>
  </si>
  <si>
    <t>『亀山のあゆみ』P.360・年表</t>
    <rPh sb="14" eb="16">
      <t>ネンピョウ</t>
    </rPh>
    <phoneticPr fontId="2"/>
  </si>
  <si>
    <t>亀山簡易裁判所を旧館に設置、図書館舎を充てる
また、同所に亀山検察庁を設置
なお、図書館は昭和26年6月ころまで多門櫓を使用</t>
    <rPh sb="0" eb="2">
      <t>カメヤマ</t>
    </rPh>
    <rPh sb="2" eb="4">
      <t>カンイ</t>
    </rPh>
    <rPh sb="4" eb="6">
      <t>サイバン</t>
    </rPh>
    <rPh sb="6" eb="7">
      <t>ショ</t>
    </rPh>
    <rPh sb="8" eb="9">
      <t>キュウ</t>
    </rPh>
    <rPh sb="9" eb="10">
      <t>ヤカタ</t>
    </rPh>
    <rPh sb="11" eb="13">
      <t>セッチ</t>
    </rPh>
    <rPh sb="14" eb="17">
      <t>トショカン</t>
    </rPh>
    <rPh sb="17" eb="18">
      <t>シャ</t>
    </rPh>
    <rPh sb="19" eb="20">
      <t>ア</t>
    </rPh>
    <rPh sb="26" eb="28">
      <t>ドウショ</t>
    </rPh>
    <rPh sb="29" eb="31">
      <t>カメヤマ</t>
    </rPh>
    <rPh sb="31" eb="34">
      <t>ケンサツチョウ</t>
    </rPh>
    <rPh sb="35" eb="37">
      <t>セッチ</t>
    </rPh>
    <rPh sb="41" eb="44">
      <t>トショカン</t>
    </rPh>
    <rPh sb="45" eb="47">
      <t>ショウワ</t>
    </rPh>
    <rPh sb="49" eb="50">
      <t>ネン</t>
    </rPh>
    <rPh sb="51" eb="52">
      <t>ガツ</t>
    </rPh>
    <rPh sb="56" eb="58">
      <t>タモン</t>
    </rPh>
    <rPh sb="58" eb="59">
      <t>ヤグラ</t>
    </rPh>
    <rPh sb="60" eb="62">
      <t>シヨウ</t>
    </rPh>
    <phoneticPr fontId="2"/>
  </si>
  <si>
    <t>亀山簡易裁判所・亀山検察庁・図書館</t>
    <rPh sb="14" eb="17">
      <t>トショカン</t>
    </rPh>
    <phoneticPr fontId="2"/>
  </si>
  <si>
    <t>日本の歴史の中の亀山／現代の亀山／教育と医療・福祉／図書館</t>
    <phoneticPr fontId="2"/>
  </si>
  <si>
    <t>http://kameyamarekihaku.jp/kodomo/w_e_b/rekishi/gendai/kyoiku/page007.html</t>
  </si>
  <si>
    <t>『亀山のあゆみ』P.80・P.429・年表
『亀山市史』歴史分野</t>
    <rPh sb="19" eb="21">
      <t>ネンピョウ</t>
    </rPh>
    <rPh sb="23" eb="26">
      <t>カメヤマシ</t>
    </rPh>
    <rPh sb="26" eb="27">
      <t>シ</t>
    </rPh>
    <rPh sb="28" eb="30">
      <t>レキシ</t>
    </rPh>
    <rPh sb="30" eb="32">
      <t>ブンヤ</t>
    </rPh>
    <phoneticPr fontId="2"/>
  </si>
  <si>
    <t>井田川村川俣神社に合祀されていた御神体を各地区に分祀する</t>
    <rPh sb="0" eb="3">
      <t>イダガワ</t>
    </rPh>
    <rPh sb="3" eb="4">
      <t>ムラ</t>
    </rPh>
    <rPh sb="4" eb="6">
      <t>カワマタ</t>
    </rPh>
    <rPh sb="6" eb="8">
      <t>ジンジャ</t>
    </rPh>
    <rPh sb="9" eb="11">
      <t>ゴウシ</t>
    </rPh>
    <rPh sb="16" eb="19">
      <t>ゴシンタイ</t>
    </rPh>
    <rPh sb="20" eb="23">
      <t>カクチク</t>
    </rPh>
    <rPh sb="24" eb="26">
      <t>ブンシ</t>
    </rPh>
    <phoneticPr fontId="2"/>
  </si>
  <si>
    <t>鈴鹿市和泉町</t>
    <rPh sb="0" eb="3">
      <t>スズカシ</t>
    </rPh>
    <rPh sb="3" eb="5">
      <t>イズミ</t>
    </rPh>
    <rPh sb="5" eb="6">
      <t>チョウ</t>
    </rPh>
    <phoneticPr fontId="2"/>
  </si>
  <si>
    <t>井田川村川俣神社</t>
    <phoneticPr fontId="2"/>
  </si>
  <si>
    <t xml:space="preserve">『亀山のあゆみ』年表
『亀山市史』通史 原始古代中世
</t>
    <rPh sb="8" eb="10">
      <t>ネンピョウ</t>
    </rPh>
    <rPh sb="11" eb="26">
      <t>ツ</t>
    </rPh>
    <phoneticPr fontId="2"/>
  </si>
  <si>
    <t>白川村農業協同組合、亀山町農業協同組合設立</t>
    <rPh sb="0" eb="2">
      <t>シラカワ</t>
    </rPh>
    <rPh sb="2" eb="3">
      <t>ムラ</t>
    </rPh>
    <rPh sb="3" eb="5">
      <t>ノウギョウ</t>
    </rPh>
    <rPh sb="5" eb="7">
      <t>キョウドウ</t>
    </rPh>
    <rPh sb="7" eb="9">
      <t>クミアイ</t>
    </rPh>
    <rPh sb="10" eb="12">
      <t>カメヤマ</t>
    </rPh>
    <rPh sb="12" eb="13">
      <t>マチ</t>
    </rPh>
    <rPh sb="13" eb="15">
      <t>ノウギョウ</t>
    </rPh>
    <rPh sb="15" eb="17">
      <t>キョウドウ</t>
    </rPh>
    <rPh sb="17" eb="19">
      <t>クミアイ</t>
    </rPh>
    <rPh sb="19" eb="21">
      <t>セツリツ</t>
    </rPh>
    <phoneticPr fontId="2"/>
  </si>
  <si>
    <t>亀山西・亀山東・白川</t>
    <rPh sb="0" eb="2">
      <t>カメヤマ</t>
    </rPh>
    <rPh sb="2" eb="3">
      <t>ニシ</t>
    </rPh>
    <rPh sb="4" eb="6">
      <t>カメヤマ</t>
    </rPh>
    <rPh sb="6" eb="7">
      <t>ヒガシ</t>
    </rPh>
    <rPh sb="8" eb="10">
      <t>シラカワ</t>
    </rPh>
    <phoneticPr fontId="2"/>
  </si>
  <si>
    <t>農業協同組合</t>
    <phoneticPr fontId="2"/>
  </si>
  <si>
    <t>『亀山のあゆみ』P.80・年表</t>
    <rPh sb="13" eb="15">
      <t>ネンピョウ</t>
    </rPh>
    <phoneticPr fontId="2"/>
  </si>
  <si>
    <t>昭和23</t>
  </si>
  <si>
    <t>亀山実業学校５年生が最初で最後の卒業式
鈴鹿高等女学校は第二回目の卒業式で最後となる</t>
    <rPh sb="0" eb="2">
      <t>カメヤマ</t>
    </rPh>
    <rPh sb="2" eb="4">
      <t>ジツギョウ</t>
    </rPh>
    <rPh sb="4" eb="6">
      <t>ガッコウ</t>
    </rPh>
    <rPh sb="7" eb="9">
      <t>ネンセイ</t>
    </rPh>
    <rPh sb="10" eb="12">
      <t>サイショ</t>
    </rPh>
    <rPh sb="13" eb="15">
      <t>サイゴ</t>
    </rPh>
    <rPh sb="16" eb="18">
      <t>ソツギョウ</t>
    </rPh>
    <rPh sb="18" eb="19">
      <t>シキ</t>
    </rPh>
    <rPh sb="20" eb="22">
      <t>スズカ</t>
    </rPh>
    <rPh sb="22" eb="24">
      <t>コウトウ</t>
    </rPh>
    <rPh sb="24" eb="27">
      <t>ジョガッコウ</t>
    </rPh>
    <rPh sb="28" eb="32">
      <t>ダイニカイメ</t>
    </rPh>
    <rPh sb="33" eb="35">
      <t>ソツギョウ</t>
    </rPh>
    <rPh sb="35" eb="36">
      <t>シキ</t>
    </rPh>
    <rPh sb="37" eb="39">
      <t>サイゴ</t>
    </rPh>
    <phoneticPr fontId="2"/>
  </si>
  <si>
    <t>亀山西・亀山東</t>
    <rPh sb="0" eb="2">
      <t>カメヤマ</t>
    </rPh>
    <rPh sb="2" eb="3">
      <t>ニシ</t>
    </rPh>
    <rPh sb="4" eb="6">
      <t>カメヤマ</t>
    </rPh>
    <rPh sb="6" eb="7">
      <t>ヒガシ</t>
    </rPh>
    <phoneticPr fontId="2"/>
  </si>
  <si>
    <t>西丸町・本町</t>
    <rPh sb="0" eb="3">
      <t>ニシマルチョウ</t>
    </rPh>
    <rPh sb="4" eb="6">
      <t>ホンマチ</t>
    </rPh>
    <phoneticPr fontId="2"/>
  </si>
  <si>
    <t>亀山実業学校・鈴鹿高等女学校</t>
    <phoneticPr fontId="2"/>
  </si>
  <si>
    <t>能褒野開拓農業協同組合設立</t>
    <rPh sb="0" eb="3">
      <t>ノボノ</t>
    </rPh>
    <rPh sb="3" eb="5">
      <t>カイタク</t>
    </rPh>
    <rPh sb="5" eb="7">
      <t>ノウギョウ</t>
    </rPh>
    <rPh sb="7" eb="9">
      <t>キョウドウ</t>
    </rPh>
    <rPh sb="9" eb="11">
      <t>クミアイ</t>
    </rPh>
    <rPh sb="11" eb="13">
      <t>セツリツ</t>
    </rPh>
    <phoneticPr fontId="2"/>
  </si>
  <si>
    <t>能褒野開拓農業協同組合</t>
  </si>
  <si>
    <t>亀山実業学校が県立に移管して県立亀山実業学校となる</t>
    <rPh sb="0" eb="2">
      <t>カメヤマ</t>
    </rPh>
    <rPh sb="2" eb="4">
      <t>ジツギョウ</t>
    </rPh>
    <rPh sb="4" eb="6">
      <t>ガッコウ</t>
    </rPh>
    <rPh sb="7" eb="8">
      <t>ケン</t>
    </rPh>
    <rPh sb="8" eb="9">
      <t>リツ</t>
    </rPh>
    <rPh sb="10" eb="12">
      <t>イカン</t>
    </rPh>
    <rPh sb="14" eb="16">
      <t>ケンリツ</t>
    </rPh>
    <rPh sb="16" eb="18">
      <t>カメヤマ</t>
    </rPh>
    <rPh sb="18" eb="20">
      <t>ジツギョウ</t>
    </rPh>
    <rPh sb="20" eb="22">
      <t>ガッコウ</t>
    </rPh>
    <phoneticPr fontId="2"/>
  </si>
  <si>
    <t>県立亀山実業学校</t>
    <phoneticPr fontId="2"/>
  </si>
  <si>
    <t>神辺村農業協同組合設立</t>
    <rPh sb="0" eb="2">
      <t>カンベ</t>
    </rPh>
    <rPh sb="2" eb="3">
      <t>ムラ</t>
    </rPh>
    <rPh sb="3" eb="5">
      <t>ノウギョウ</t>
    </rPh>
    <rPh sb="5" eb="7">
      <t>キョウドウ</t>
    </rPh>
    <rPh sb="7" eb="9">
      <t>クミアイ</t>
    </rPh>
    <rPh sb="9" eb="11">
      <t>セツリツ</t>
    </rPh>
    <phoneticPr fontId="2"/>
  </si>
  <si>
    <t>神辺村農業協同組合</t>
  </si>
  <si>
    <t>県立鈴鹿高等女学校と県立亀山実業学校が合併して県立亀山高等学校設立
元鈴鹿高女の校舎校地をこれに充てる</t>
    <rPh sb="0" eb="2">
      <t>ケンリツ</t>
    </rPh>
    <rPh sb="10" eb="12">
      <t>ケンリツ</t>
    </rPh>
    <rPh sb="23" eb="25">
      <t>ケンリツ</t>
    </rPh>
    <rPh sb="34" eb="35">
      <t>モト</t>
    </rPh>
    <rPh sb="35" eb="37">
      <t>スズカ</t>
    </rPh>
    <rPh sb="37" eb="39">
      <t>コウジョ</t>
    </rPh>
    <rPh sb="40" eb="42">
      <t>コウシャ</t>
    </rPh>
    <rPh sb="42" eb="43">
      <t>コウ</t>
    </rPh>
    <rPh sb="43" eb="44">
      <t>チ</t>
    </rPh>
    <rPh sb="48" eb="49">
      <t>ア</t>
    </rPh>
    <phoneticPr fontId="2"/>
  </si>
  <si>
    <t>本町</t>
  </si>
  <si>
    <t>亀山高等学校</t>
  </si>
  <si>
    <t>『亀山のあゆみ』P.84・P.419・年表</t>
    <rPh sb="19" eb="21">
      <t>ネンピョウ</t>
    </rPh>
    <phoneticPr fontId="2"/>
  </si>
  <si>
    <t>亀山中学校を元亀山実業学校校舎に移し、旧制中学校３年生を受け入れ、各村の中学校も旧制中学校３年生を受け入れる</t>
    <rPh sb="0" eb="2">
      <t>カメヤマ</t>
    </rPh>
    <rPh sb="2" eb="5">
      <t>チュウガッコウ</t>
    </rPh>
    <rPh sb="6" eb="7">
      <t>モト</t>
    </rPh>
    <rPh sb="7" eb="9">
      <t>カメヤマ</t>
    </rPh>
    <rPh sb="9" eb="11">
      <t>ジツギョウ</t>
    </rPh>
    <rPh sb="11" eb="13">
      <t>ガッコウ</t>
    </rPh>
    <rPh sb="13" eb="15">
      <t>コウシャ</t>
    </rPh>
    <rPh sb="16" eb="17">
      <t>ウツ</t>
    </rPh>
    <rPh sb="19" eb="21">
      <t>キュウセイ</t>
    </rPh>
    <rPh sb="21" eb="24">
      <t>チュウガッコウ</t>
    </rPh>
    <rPh sb="25" eb="27">
      <t>ネンセイ</t>
    </rPh>
    <rPh sb="28" eb="29">
      <t>ウ</t>
    </rPh>
    <rPh sb="30" eb="31">
      <t>イ</t>
    </rPh>
    <rPh sb="33" eb="35">
      <t>カクムラ</t>
    </rPh>
    <rPh sb="36" eb="39">
      <t>チュウガッコウ</t>
    </rPh>
    <rPh sb="40" eb="42">
      <t>キュウセイ</t>
    </rPh>
    <rPh sb="42" eb="45">
      <t>チュウガッコウ</t>
    </rPh>
    <rPh sb="46" eb="48">
      <t>ネンセイ</t>
    </rPh>
    <rPh sb="49" eb="50">
      <t>ウ</t>
    </rPh>
    <rPh sb="51" eb="52">
      <t>イ</t>
    </rPh>
    <phoneticPr fontId="2"/>
  </si>
  <si>
    <t>亀山中学校</t>
    <phoneticPr fontId="2"/>
  </si>
  <si>
    <t>学校のあゆみ／亀山中学校のれきし</t>
    <phoneticPr fontId="2"/>
  </si>
  <si>
    <t>http://kameyamarekihaku.jp/kodomo/w_e_b/ayumi/page015.html</t>
  </si>
  <si>
    <t>『亀山のあゆみ』P.387・年表
『亀山市史』歴史分野</t>
    <rPh sb="14" eb="16">
      <t>ネンピョウ</t>
    </rPh>
    <rPh sb="17" eb="27">
      <t>レ</t>
    </rPh>
    <phoneticPr fontId="2"/>
  </si>
  <si>
    <t>学校のあゆみ／関中学校のれきし</t>
    <rPh sb="7" eb="8">
      <t>セキ</t>
    </rPh>
    <phoneticPr fontId="2"/>
  </si>
  <si>
    <t>http://kameyamarekihaku.jp/kodomo/w_e_b/ayumi/page016.html</t>
  </si>
  <si>
    <t>学校のあゆみ／中部中学校のれきし</t>
    <rPh sb="7" eb="9">
      <t>チュウブ</t>
    </rPh>
    <rPh sb="9" eb="12">
      <t>チュウガッコウ</t>
    </rPh>
    <phoneticPr fontId="2"/>
  </si>
  <si>
    <t>http://kameyamarekihaku.jp/kodomo/w_e_b/ayumi/page017.html</t>
  </si>
  <si>
    <t>川崎村外二ヶ村組合立中部中学校創立
川崎を本校、野登と井田川は分校とする</t>
    <rPh sb="2" eb="3">
      <t>ムラ</t>
    </rPh>
    <rPh sb="3" eb="4">
      <t>ソト</t>
    </rPh>
    <rPh sb="4" eb="5">
      <t>ニ</t>
    </rPh>
    <rPh sb="6" eb="7">
      <t>ムラ</t>
    </rPh>
    <rPh sb="7" eb="9">
      <t>クミアイ</t>
    </rPh>
    <rPh sb="9" eb="10">
      <t>リツ</t>
    </rPh>
    <rPh sb="10" eb="12">
      <t>チュウブ</t>
    </rPh>
    <rPh sb="12" eb="15">
      <t>チュウガッコウ</t>
    </rPh>
    <rPh sb="15" eb="17">
      <t>ソウリツ</t>
    </rPh>
    <rPh sb="18" eb="20">
      <t>カワサキ</t>
    </rPh>
    <rPh sb="21" eb="22">
      <t>ホン</t>
    </rPh>
    <rPh sb="22" eb="23">
      <t>コウ</t>
    </rPh>
    <rPh sb="24" eb="26">
      <t>ノノボリ</t>
    </rPh>
    <rPh sb="27" eb="30">
      <t>イダガワ</t>
    </rPh>
    <rPh sb="31" eb="33">
      <t>ブンコウ</t>
    </rPh>
    <phoneticPr fontId="2"/>
  </si>
  <si>
    <t>川崎・野登・井田川</t>
    <rPh sb="0" eb="2">
      <t>カワサキ</t>
    </rPh>
    <rPh sb="3" eb="5">
      <t>ノノボリ</t>
    </rPh>
    <rPh sb="6" eb="9">
      <t>イダガワ</t>
    </rPh>
    <phoneticPr fontId="2"/>
  </si>
  <si>
    <t>川崎町・両尾町・井田川町</t>
    <rPh sb="0" eb="3">
      <t>カワサキチョウ</t>
    </rPh>
    <rPh sb="4" eb="6">
      <t>フタオ</t>
    </rPh>
    <rPh sb="6" eb="7">
      <t>チョウ</t>
    </rPh>
    <rPh sb="8" eb="12">
      <t>イダガワチョウ</t>
    </rPh>
    <phoneticPr fontId="2"/>
  </si>
  <si>
    <t>中部中学校</t>
    <phoneticPr fontId="2"/>
  </si>
  <si>
    <t>学校のあゆみ／中部中学校のれきし</t>
    <rPh sb="7" eb="9">
      <t>チュウブ</t>
    </rPh>
    <phoneticPr fontId="2"/>
  </si>
  <si>
    <t>『亀山のあゆみ』P.387・年表</t>
    <rPh sb="14" eb="16">
      <t>ネンピョウ</t>
    </rPh>
    <phoneticPr fontId="2"/>
  </si>
  <si>
    <t>鈴鹿郡関町外四ヶ村組合立西部中学校創立
校舎新築まで暫定措置として神辺小学校に併設し、本校とする
加太・坂下に分校を置く（鈴関中学校・加太中学校・坂下中学校・白川中学校・神辺中学校を統合する）</t>
    <rPh sb="3" eb="5">
      <t>セキチョウ</t>
    </rPh>
    <rPh sb="5" eb="6">
      <t>ホカ</t>
    </rPh>
    <rPh sb="6" eb="7">
      <t>ヨン</t>
    </rPh>
    <rPh sb="8" eb="9">
      <t>ムラ</t>
    </rPh>
    <rPh sb="9" eb="11">
      <t>クミアイ</t>
    </rPh>
    <rPh sb="11" eb="12">
      <t>リツ</t>
    </rPh>
    <rPh sb="12" eb="14">
      <t>セイブ</t>
    </rPh>
    <rPh sb="14" eb="17">
      <t>チュウガッコウ</t>
    </rPh>
    <rPh sb="17" eb="19">
      <t>ソウリツ</t>
    </rPh>
    <rPh sb="20" eb="22">
      <t>コウシャ</t>
    </rPh>
    <rPh sb="22" eb="24">
      <t>シンチク</t>
    </rPh>
    <rPh sb="26" eb="28">
      <t>ザンテイ</t>
    </rPh>
    <rPh sb="28" eb="30">
      <t>ソチ</t>
    </rPh>
    <rPh sb="33" eb="35">
      <t>カンベ</t>
    </rPh>
    <rPh sb="35" eb="38">
      <t>ショウガッコウ</t>
    </rPh>
    <rPh sb="39" eb="41">
      <t>ヘイセツ</t>
    </rPh>
    <rPh sb="43" eb="44">
      <t>ホン</t>
    </rPh>
    <rPh sb="44" eb="45">
      <t>コウ</t>
    </rPh>
    <rPh sb="49" eb="51">
      <t>カブト</t>
    </rPh>
    <rPh sb="52" eb="54">
      <t>サカシタ</t>
    </rPh>
    <rPh sb="55" eb="57">
      <t>ブンコウ</t>
    </rPh>
    <rPh sb="58" eb="59">
      <t>オ</t>
    </rPh>
    <rPh sb="61" eb="62">
      <t>スズ</t>
    </rPh>
    <rPh sb="62" eb="63">
      <t>セキ</t>
    </rPh>
    <rPh sb="63" eb="66">
      <t>チュウガッコウ</t>
    </rPh>
    <rPh sb="67" eb="69">
      <t>カブト</t>
    </rPh>
    <rPh sb="69" eb="72">
      <t>チュウガッコウ</t>
    </rPh>
    <rPh sb="73" eb="75">
      <t>サカシタ</t>
    </rPh>
    <rPh sb="75" eb="78">
      <t>チュウガッコウ</t>
    </rPh>
    <rPh sb="79" eb="81">
      <t>シラカワ</t>
    </rPh>
    <rPh sb="81" eb="84">
      <t>チュウガッコウ</t>
    </rPh>
    <rPh sb="85" eb="87">
      <t>カンベ</t>
    </rPh>
    <rPh sb="87" eb="90">
      <t>チュウガッコウ</t>
    </rPh>
    <rPh sb="91" eb="93">
      <t>トウゴウ</t>
    </rPh>
    <phoneticPr fontId="2"/>
  </si>
  <si>
    <t>関・加太・神辺・坂下・白川</t>
    <rPh sb="0" eb="1">
      <t>セキ</t>
    </rPh>
    <rPh sb="2" eb="4">
      <t>カブト</t>
    </rPh>
    <rPh sb="5" eb="7">
      <t>カンベ</t>
    </rPh>
    <rPh sb="8" eb="10">
      <t>サカシタ</t>
    </rPh>
    <rPh sb="11" eb="13">
      <t>シラカワ</t>
    </rPh>
    <phoneticPr fontId="2"/>
  </si>
  <si>
    <t>太岡寺町・加太板屋・白木町</t>
    <rPh sb="0" eb="4">
      <t>タイコウジチョウ</t>
    </rPh>
    <rPh sb="5" eb="7">
      <t>カブト</t>
    </rPh>
    <rPh sb="7" eb="9">
      <t>イタヤ</t>
    </rPh>
    <rPh sb="10" eb="13">
      <t>シラキチョウ</t>
    </rPh>
    <phoneticPr fontId="2"/>
  </si>
  <si>
    <t>西部中学校</t>
    <phoneticPr fontId="2"/>
  </si>
  <si>
    <t>西部中学校建設アルバム
関町史編さん資料</t>
    <rPh sb="0" eb="2">
      <t>セイブ</t>
    </rPh>
    <rPh sb="2" eb="5">
      <t>チュウガッコウ</t>
    </rPh>
    <rPh sb="5" eb="7">
      <t>ケンセツ</t>
    </rPh>
    <rPh sb="12" eb="13">
      <t>セキ</t>
    </rPh>
    <rPh sb="13" eb="15">
      <t>チョウシ</t>
    </rPh>
    <rPh sb="15" eb="16">
      <t>ヘン</t>
    </rPh>
    <rPh sb="18" eb="20">
      <t>シリョウ</t>
    </rPh>
    <phoneticPr fontId="2"/>
  </si>
  <si>
    <t xml:space="preserve">『亀山のあゆみ』P.87・年表
『鈴鹿関町史』下巻年表
『亀山市史』歴史分野
</t>
    <rPh sb="1" eb="3">
      <t>カメヤマ</t>
    </rPh>
    <rPh sb="13" eb="15">
      <t>ネンピョウ</t>
    </rPh>
    <rPh sb="17" eb="19">
      <t>スズカ</t>
    </rPh>
    <rPh sb="19" eb="20">
      <t>セキ</t>
    </rPh>
    <rPh sb="20" eb="22">
      <t>チョウシ</t>
    </rPh>
    <rPh sb="23" eb="24">
      <t>シタ</t>
    </rPh>
    <rPh sb="24" eb="25">
      <t>マ</t>
    </rPh>
    <rPh sb="25" eb="27">
      <t>ネンピョウ</t>
    </rPh>
    <rPh sb="29" eb="32">
      <t>カメヤマシ</t>
    </rPh>
    <rPh sb="32" eb="33">
      <t>シ</t>
    </rPh>
    <rPh sb="34" eb="36">
      <t>レキシ</t>
    </rPh>
    <rPh sb="36" eb="38">
      <t>ブンヤ</t>
    </rPh>
    <phoneticPr fontId="2"/>
  </si>
  <si>
    <t>川崎村農業協同組合設立</t>
    <rPh sb="0" eb="3">
      <t>カワサキムラ</t>
    </rPh>
    <rPh sb="3" eb="5">
      <t>ノウギョウ</t>
    </rPh>
    <rPh sb="5" eb="7">
      <t>キョウドウ</t>
    </rPh>
    <rPh sb="7" eb="9">
      <t>クミアイ</t>
    </rPh>
    <rPh sb="9" eb="11">
      <t>セツリツ</t>
    </rPh>
    <phoneticPr fontId="2"/>
  </si>
  <si>
    <t>川崎</t>
    <phoneticPr fontId="2"/>
  </si>
  <si>
    <t>川崎村農業協同組合</t>
    <phoneticPr fontId="2"/>
  </si>
  <si>
    <t>亀山駅から白木経由関間に省営定期バス開通</t>
    <rPh sb="0" eb="3">
      <t>カメヤマエキ</t>
    </rPh>
    <rPh sb="5" eb="7">
      <t>シラキ</t>
    </rPh>
    <rPh sb="7" eb="9">
      <t>ケイユ</t>
    </rPh>
    <rPh sb="9" eb="10">
      <t>セキ</t>
    </rPh>
    <rPh sb="10" eb="11">
      <t>アイダ</t>
    </rPh>
    <rPh sb="12" eb="13">
      <t>ショウ</t>
    </rPh>
    <rPh sb="13" eb="14">
      <t>エイ</t>
    </rPh>
    <rPh sb="14" eb="16">
      <t>テイキ</t>
    </rPh>
    <rPh sb="18" eb="20">
      <t>カイツウ</t>
    </rPh>
    <phoneticPr fontId="2"/>
  </si>
  <si>
    <t>省営定期バス</t>
    <phoneticPr fontId="2"/>
  </si>
  <si>
    <t>日本の歴史の中の亀山／現代の亀山／交通と通信／バス</t>
  </si>
  <si>
    <t>『亀山のあゆみ』P.8１・年表</t>
    <rPh sb="13" eb="15">
      <t>ネンピョウ</t>
    </rPh>
    <phoneticPr fontId="2"/>
  </si>
  <si>
    <t>亀山国民健康保険事業開始</t>
    <rPh sb="0" eb="2">
      <t>カメヤマ</t>
    </rPh>
    <rPh sb="2" eb="4">
      <t>コクミン</t>
    </rPh>
    <rPh sb="4" eb="6">
      <t>ケンコウ</t>
    </rPh>
    <rPh sb="6" eb="8">
      <t>ホケン</t>
    </rPh>
    <rPh sb="8" eb="10">
      <t>ジギョウ</t>
    </rPh>
    <rPh sb="10" eb="12">
      <t>カイシ</t>
    </rPh>
    <phoneticPr fontId="2"/>
  </si>
  <si>
    <t>亀山国民健康保険事業</t>
    <phoneticPr fontId="2"/>
  </si>
  <si>
    <t>『亀山のあゆみ』P.89・P.354年表</t>
    <rPh sb="18" eb="20">
      <t>ネンピョウ</t>
    </rPh>
    <phoneticPr fontId="2"/>
  </si>
  <si>
    <t>亀山たばこ販売協同組合結成</t>
    <rPh sb="0" eb="2">
      <t>カメヤマ</t>
    </rPh>
    <rPh sb="5" eb="7">
      <t>ハンバイ</t>
    </rPh>
    <rPh sb="7" eb="9">
      <t>キョウドウ</t>
    </rPh>
    <rPh sb="9" eb="11">
      <t>クミアイ</t>
    </rPh>
    <rPh sb="11" eb="13">
      <t>ケッセイ</t>
    </rPh>
    <phoneticPr fontId="2"/>
  </si>
  <si>
    <t>亀山たばこ販売協同組合</t>
  </si>
  <si>
    <t>鈴鹿県立公園指定（野登村石水渓を含む）</t>
    <rPh sb="0" eb="2">
      <t>スズカ</t>
    </rPh>
    <rPh sb="2" eb="4">
      <t>ケンリツ</t>
    </rPh>
    <rPh sb="4" eb="6">
      <t>コウエン</t>
    </rPh>
    <rPh sb="6" eb="8">
      <t>シテイ</t>
    </rPh>
    <rPh sb="9" eb="11">
      <t>ノノボリ</t>
    </rPh>
    <rPh sb="11" eb="12">
      <t>ムラ</t>
    </rPh>
    <rPh sb="12" eb="13">
      <t>イシ</t>
    </rPh>
    <rPh sb="13" eb="14">
      <t>ミズ</t>
    </rPh>
    <rPh sb="14" eb="15">
      <t>ケイ</t>
    </rPh>
    <rPh sb="16" eb="17">
      <t>フク</t>
    </rPh>
    <phoneticPr fontId="2"/>
  </si>
  <si>
    <t>野登・関</t>
    <rPh sb="3" eb="4">
      <t>セキ</t>
    </rPh>
    <phoneticPr fontId="2"/>
  </si>
  <si>
    <t>鈴鹿県立公園指定</t>
    <phoneticPr fontId="2"/>
  </si>
  <si>
    <t>各小中学校にPTAが結成される</t>
    <rPh sb="0" eb="1">
      <t>カク</t>
    </rPh>
    <rPh sb="1" eb="3">
      <t>ショウチュウ</t>
    </rPh>
    <rPh sb="3" eb="5">
      <t>ガッコウ</t>
    </rPh>
    <rPh sb="10" eb="12">
      <t>ケッセイ</t>
    </rPh>
    <phoneticPr fontId="2"/>
  </si>
  <si>
    <t>PTA</t>
    <phoneticPr fontId="2"/>
  </si>
  <si>
    <t>昭和24</t>
    <phoneticPr fontId="2"/>
  </si>
  <si>
    <t>西部中学校本校を神辺小学校から関小学校校舎に移し、関町、坂下、加太、白川各村の生徒が授業を受け、神辺の校舎は神辺分校として神辺村の生徒が使った</t>
    <rPh sb="0" eb="2">
      <t>セイブ</t>
    </rPh>
    <rPh sb="2" eb="5">
      <t>チュウガッコウ</t>
    </rPh>
    <rPh sb="5" eb="7">
      <t>ホンコウ</t>
    </rPh>
    <rPh sb="8" eb="10">
      <t>カンベ</t>
    </rPh>
    <rPh sb="10" eb="13">
      <t>ショウガッコウ</t>
    </rPh>
    <rPh sb="15" eb="16">
      <t>セキ</t>
    </rPh>
    <rPh sb="16" eb="19">
      <t>ショウガッコウ</t>
    </rPh>
    <rPh sb="19" eb="21">
      <t>コウシャ</t>
    </rPh>
    <rPh sb="22" eb="23">
      <t>ウツ</t>
    </rPh>
    <rPh sb="25" eb="27">
      <t>セキマチ</t>
    </rPh>
    <rPh sb="28" eb="30">
      <t>サカシタ</t>
    </rPh>
    <rPh sb="31" eb="33">
      <t>カブト</t>
    </rPh>
    <rPh sb="34" eb="36">
      <t>シラカワ</t>
    </rPh>
    <rPh sb="36" eb="37">
      <t>カク</t>
    </rPh>
    <rPh sb="37" eb="38">
      <t>ムラ</t>
    </rPh>
    <rPh sb="39" eb="41">
      <t>セイト</t>
    </rPh>
    <rPh sb="42" eb="44">
      <t>ジュギョウ</t>
    </rPh>
    <rPh sb="45" eb="46">
      <t>ウ</t>
    </rPh>
    <rPh sb="48" eb="50">
      <t>カンベ</t>
    </rPh>
    <rPh sb="51" eb="53">
      <t>コウシャ</t>
    </rPh>
    <rPh sb="54" eb="56">
      <t>カンベ</t>
    </rPh>
    <rPh sb="56" eb="58">
      <t>ブンコウ</t>
    </rPh>
    <rPh sb="61" eb="63">
      <t>カンベ</t>
    </rPh>
    <rPh sb="63" eb="64">
      <t>ムラ</t>
    </rPh>
    <rPh sb="65" eb="67">
      <t>セイト</t>
    </rPh>
    <rPh sb="68" eb="69">
      <t>ツカ</t>
    </rPh>
    <phoneticPr fontId="2"/>
  </si>
  <si>
    <t>関・加太・神辺・白川</t>
    <rPh sb="0" eb="1">
      <t>セキ</t>
    </rPh>
    <rPh sb="2" eb="4">
      <t>カブト</t>
    </rPh>
    <rPh sb="5" eb="7">
      <t>カンベ</t>
    </rPh>
    <rPh sb="8" eb="10">
      <t>シラカワ</t>
    </rPh>
    <phoneticPr fontId="2"/>
  </si>
  <si>
    <t>関町木崎・太岡寺町</t>
    <rPh sb="0" eb="1">
      <t>セキ</t>
    </rPh>
    <rPh sb="1" eb="2">
      <t>チョウ</t>
    </rPh>
    <rPh sb="2" eb="3">
      <t>キ</t>
    </rPh>
    <rPh sb="3" eb="4">
      <t>サキ</t>
    </rPh>
    <rPh sb="5" eb="9">
      <t>タイコウジチョウ</t>
    </rPh>
    <phoneticPr fontId="2"/>
  </si>
  <si>
    <t>西部中学校・神辺小学校・関中学校</t>
    <rPh sb="6" eb="8">
      <t>カンベ</t>
    </rPh>
    <rPh sb="8" eb="11">
      <t>ショウガッコウ</t>
    </rPh>
    <rPh sb="12" eb="13">
      <t>セキ</t>
    </rPh>
    <rPh sb="13" eb="16">
      <t>チュウガッコウ</t>
    </rPh>
    <phoneticPr fontId="2"/>
  </si>
  <si>
    <t>『亀山のあゆみ』年表
『鈴鹿関町史』下巻年表
『亀山市史』歴史分野</t>
    <rPh sb="8" eb="10">
      <t>ネンピョウ</t>
    </rPh>
    <rPh sb="12" eb="14">
      <t>スズカ</t>
    </rPh>
    <rPh sb="14" eb="15">
      <t>セキ</t>
    </rPh>
    <rPh sb="15" eb="16">
      <t>マチ</t>
    </rPh>
    <rPh sb="16" eb="17">
      <t>シ</t>
    </rPh>
    <rPh sb="18" eb="20">
      <t>ゲカン</t>
    </rPh>
    <rPh sb="20" eb="22">
      <t>ネンピョウ</t>
    </rPh>
    <rPh sb="24" eb="27">
      <t>カメヤマシ</t>
    </rPh>
    <rPh sb="27" eb="28">
      <t>シ</t>
    </rPh>
    <rPh sb="29" eb="31">
      <t>レキシ</t>
    </rPh>
    <rPh sb="31" eb="33">
      <t>ブンヤ</t>
    </rPh>
    <phoneticPr fontId="2"/>
  </si>
  <si>
    <t>三重師範亀山分校は三重大学三重師範学校亀山分校と改称</t>
    <rPh sb="0" eb="2">
      <t>ミエ</t>
    </rPh>
    <rPh sb="2" eb="4">
      <t>シハン</t>
    </rPh>
    <rPh sb="4" eb="6">
      <t>カメヤマ</t>
    </rPh>
    <rPh sb="6" eb="8">
      <t>ブンコウ</t>
    </rPh>
    <rPh sb="9" eb="11">
      <t>ミエ</t>
    </rPh>
    <rPh sb="11" eb="13">
      <t>ダイガク</t>
    </rPh>
    <rPh sb="13" eb="15">
      <t>ミエ</t>
    </rPh>
    <rPh sb="15" eb="17">
      <t>シハン</t>
    </rPh>
    <rPh sb="17" eb="19">
      <t>ガッコウ</t>
    </rPh>
    <rPh sb="19" eb="21">
      <t>カメヤマ</t>
    </rPh>
    <rPh sb="21" eb="23">
      <t>ブンコウ</t>
    </rPh>
    <rPh sb="24" eb="26">
      <t>カイショウ</t>
    </rPh>
    <phoneticPr fontId="2"/>
  </si>
  <si>
    <t>三重大学三重師範学校亀山分校</t>
    <phoneticPr fontId="2"/>
  </si>
  <si>
    <t>日本専売公社亀山出張所発足</t>
    <rPh sb="0" eb="2">
      <t>ニホン</t>
    </rPh>
    <rPh sb="2" eb="4">
      <t>センバイ</t>
    </rPh>
    <rPh sb="4" eb="6">
      <t>コウシャ</t>
    </rPh>
    <rPh sb="6" eb="8">
      <t>カメヤマ</t>
    </rPh>
    <rPh sb="8" eb="10">
      <t>シュッチョウ</t>
    </rPh>
    <rPh sb="10" eb="11">
      <t>ジョ</t>
    </rPh>
    <rPh sb="11" eb="13">
      <t>ホッソク</t>
    </rPh>
    <phoneticPr fontId="2"/>
  </si>
  <si>
    <t>日本専売公社亀山出張所</t>
    <phoneticPr fontId="2"/>
  </si>
  <si>
    <t>『亀山のあゆみ』P.8１・年表
『亀山市史』歴史分野</t>
    <rPh sb="13" eb="15">
      <t>ネンピョウ</t>
    </rPh>
    <rPh sb="17" eb="20">
      <t>カメヤマシ</t>
    </rPh>
    <rPh sb="20" eb="21">
      <t>シ</t>
    </rPh>
    <rPh sb="22" eb="24">
      <t>レキシ</t>
    </rPh>
    <rPh sb="24" eb="26">
      <t>ブンヤ</t>
    </rPh>
    <phoneticPr fontId="2"/>
  </si>
  <si>
    <t>亀山町制６０周年記念式典挙行</t>
    <rPh sb="0" eb="3">
      <t>カメヤマチョウ</t>
    </rPh>
    <rPh sb="3" eb="4">
      <t>セイ</t>
    </rPh>
    <rPh sb="6" eb="8">
      <t>シュウネン</t>
    </rPh>
    <rPh sb="8" eb="10">
      <t>キネン</t>
    </rPh>
    <rPh sb="10" eb="12">
      <t>シキテン</t>
    </rPh>
    <rPh sb="12" eb="14">
      <t>キョコウ</t>
    </rPh>
    <phoneticPr fontId="2"/>
  </si>
  <si>
    <t>浄源庵内に亀山第二愛護園開設</t>
    <rPh sb="0" eb="1">
      <t>キヨシ</t>
    </rPh>
    <rPh sb="1" eb="2">
      <t>ミナモト</t>
    </rPh>
    <rPh sb="2" eb="3">
      <t>アン</t>
    </rPh>
    <rPh sb="3" eb="4">
      <t>ナイ</t>
    </rPh>
    <rPh sb="5" eb="7">
      <t>カメヤマ</t>
    </rPh>
    <rPh sb="7" eb="9">
      <t>ダイニ</t>
    </rPh>
    <rPh sb="9" eb="10">
      <t>アイ</t>
    </rPh>
    <rPh sb="10" eb="11">
      <t>マモル</t>
    </rPh>
    <rPh sb="11" eb="12">
      <t>エン</t>
    </rPh>
    <rPh sb="12" eb="14">
      <t>カイセツ</t>
    </rPh>
    <phoneticPr fontId="2"/>
  </si>
  <si>
    <t>亀山第二愛護園</t>
    <phoneticPr fontId="2"/>
  </si>
  <si>
    <t>日本の歴史の中の亀山／現代の亀山／教育と医療・福祉／保育園</t>
    <phoneticPr fontId="2"/>
  </si>
  <si>
    <t>『亀山のあゆみ』P.89・P.361・年表</t>
    <rPh sb="19" eb="21">
      <t>ネンピョウ</t>
    </rPh>
    <phoneticPr fontId="2"/>
  </si>
  <si>
    <t>亀山駅前郵便局開設</t>
    <rPh sb="0" eb="2">
      <t>カメヤマ</t>
    </rPh>
    <rPh sb="2" eb="4">
      <t>エキマエ</t>
    </rPh>
    <rPh sb="4" eb="7">
      <t>ユウビンキョク</t>
    </rPh>
    <rPh sb="7" eb="9">
      <t>カイセツ</t>
    </rPh>
    <phoneticPr fontId="2"/>
  </si>
  <si>
    <t>南崎町</t>
    <rPh sb="0" eb="3">
      <t>ミナミザキチョウ</t>
    </rPh>
    <phoneticPr fontId="2"/>
  </si>
  <si>
    <t>亀山駅前郵便局</t>
  </si>
  <si>
    <t>『亀山のあゆみ』P.81・年表</t>
    <rPh sb="13" eb="15">
      <t>ネンピョウ</t>
    </rPh>
    <phoneticPr fontId="2"/>
  </si>
  <si>
    <t>亀山電報電話局設置</t>
    <rPh sb="0" eb="2">
      <t>カメヤマ</t>
    </rPh>
    <rPh sb="2" eb="4">
      <t>デンポウ</t>
    </rPh>
    <rPh sb="4" eb="6">
      <t>デンワ</t>
    </rPh>
    <rPh sb="6" eb="7">
      <t>キョク</t>
    </rPh>
    <rPh sb="7" eb="9">
      <t>セッチ</t>
    </rPh>
    <phoneticPr fontId="2"/>
  </si>
  <si>
    <t>亀山電報電話局</t>
    <phoneticPr fontId="2"/>
  </si>
  <si>
    <t>白川村役場が新築移転する</t>
    <rPh sb="0" eb="2">
      <t>シラカワ</t>
    </rPh>
    <rPh sb="2" eb="3">
      <t>ムラ</t>
    </rPh>
    <rPh sb="3" eb="5">
      <t>ヤクバ</t>
    </rPh>
    <rPh sb="6" eb="8">
      <t>シンチク</t>
    </rPh>
    <rPh sb="8" eb="10">
      <t>イテン</t>
    </rPh>
    <phoneticPr fontId="2"/>
  </si>
  <si>
    <t>白川村役場</t>
    <phoneticPr fontId="2"/>
  </si>
  <si>
    <t>神辺村農業協同組合内に神辺簡易郵便局が設置</t>
    <rPh sb="0" eb="2">
      <t>カンベ</t>
    </rPh>
    <rPh sb="2" eb="3">
      <t>ムラ</t>
    </rPh>
    <rPh sb="3" eb="5">
      <t>ノウギョウ</t>
    </rPh>
    <rPh sb="5" eb="7">
      <t>キョウドウ</t>
    </rPh>
    <rPh sb="7" eb="9">
      <t>クミアイ</t>
    </rPh>
    <rPh sb="9" eb="10">
      <t>ナイ</t>
    </rPh>
    <rPh sb="11" eb="13">
      <t>カンベ</t>
    </rPh>
    <rPh sb="13" eb="15">
      <t>カンイ</t>
    </rPh>
    <rPh sb="15" eb="18">
      <t>ユウビンキョク</t>
    </rPh>
    <rPh sb="19" eb="21">
      <t>セッチ</t>
    </rPh>
    <phoneticPr fontId="2"/>
  </si>
  <si>
    <t>太岡寺町</t>
    <rPh sb="0" eb="4">
      <t>タイコウジチョウ</t>
    </rPh>
    <phoneticPr fontId="2"/>
  </si>
  <si>
    <t>神辺簡易郵便局</t>
    <phoneticPr fontId="2"/>
  </si>
  <si>
    <t>亀山町警察署庁舎を東台に新築移転</t>
    <rPh sb="0" eb="2">
      <t>カメヤマ</t>
    </rPh>
    <rPh sb="2" eb="3">
      <t>マチ</t>
    </rPh>
    <rPh sb="3" eb="6">
      <t>ケイサツショ</t>
    </rPh>
    <rPh sb="6" eb="8">
      <t>チョウシャ</t>
    </rPh>
    <rPh sb="9" eb="10">
      <t>ヒガシ</t>
    </rPh>
    <rPh sb="10" eb="11">
      <t>ダイ</t>
    </rPh>
    <rPh sb="12" eb="14">
      <t>シンチク</t>
    </rPh>
    <rPh sb="14" eb="16">
      <t>イテン</t>
    </rPh>
    <phoneticPr fontId="2"/>
  </si>
  <si>
    <t>東台町</t>
    <rPh sb="2" eb="3">
      <t>チョウ</t>
    </rPh>
    <phoneticPr fontId="2"/>
  </si>
  <si>
    <t>亀山町警察署庁舎</t>
    <phoneticPr fontId="2"/>
  </si>
  <si>
    <t>西部中学校坂下分校を廃する</t>
    <rPh sb="0" eb="2">
      <t>セイブ</t>
    </rPh>
    <rPh sb="2" eb="5">
      <t>チュウガッコウ</t>
    </rPh>
    <rPh sb="5" eb="7">
      <t>サカシタ</t>
    </rPh>
    <rPh sb="7" eb="9">
      <t>ブンコウ</t>
    </rPh>
    <rPh sb="10" eb="11">
      <t>ハイ</t>
    </rPh>
    <phoneticPr fontId="2"/>
  </si>
  <si>
    <t>関町ガールスカウト結成</t>
    <rPh sb="0" eb="1">
      <t>セキ</t>
    </rPh>
    <rPh sb="1" eb="2">
      <t>マチ</t>
    </rPh>
    <rPh sb="9" eb="11">
      <t>ケッセイ</t>
    </rPh>
    <phoneticPr fontId="2"/>
  </si>
  <si>
    <t>昭和25</t>
    <phoneticPr fontId="2"/>
  </si>
  <si>
    <t>地蔵院愛染堂が国の重要文化財に指定される</t>
    <rPh sb="3" eb="5">
      <t>アイゼン</t>
    </rPh>
    <rPh sb="5" eb="6">
      <t>ドウ</t>
    </rPh>
    <rPh sb="9" eb="11">
      <t>ジュウヨウ</t>
    </rPh>
    <rPh sb="11" eb="13">
      <t>ブンカ</t>
    </rPh>
    <rPh sb="13" eb="14">
      <t>ザイ</t>
    </rPh>
    <rPh sb="15" eb="17">
      <t>シテイ</t>
    </rPh>
    <phoneticPr fontId="2"/>
  </si>
  <si>
    <t>地蔵院愛染堂</t>
    <phoneticPr fontId="2"/>
  </si>
  <si>
    <t>亀山のいいとこさがし／建物</t>
    <phoneticPr fontId="2"/>
  </si>
  <si>
    <t>『鈴鹿関町史』下巻年表
『亀山市史』通史　近代現代</t>
    <rPh sb="1" eb="3">
      <t>スズカ</t>
    </rPh>
    <rPh sb="3" eb="4">
      <t>セキ</t>
    </rPh>
    <rPh sb="4" eb="6">
      <t>チョウシ</t>
    </rPh>
    <rPh sb="7" eb="9">
      <t>ゲカン</t>
    </rPh>
    <rPh sb="9" eb="10">
      <t>ネン</t>
    </rPh>
    <rPh sb="10" eb="11">
      <t>ヒョウ</t>
    </rPh>
    <rPh sb="12" eb="25">
      <t>ツ</t>
    </rPh>
    <phoneticPr fontId="2"/>
  </si>
  <si>
    <t>亀山のいいとこさがし／景色のよいところや歴史を知る手掛かりとなるもの／関宿のまちなみ／新所のまちなみ／地蔵院本堂・鐘楼・愛染堂</t>
    <phoneticPr fontId="2"/>
  </si>
  <si>
    <t>坂下村内の国道一号線大改修される</t>
    <rPh sb="0" eb="2">
      <t>サカシタ</t>
    </rPh>
    <rPh sb="2" eb="3">
      <t>ムラ</t>
    </rPh>
    <rPh sb="3" eb="4">
      <t>ナイ</t>
    </rPh>
    <rPh sb="5" eb="7">
      <t>コクドウ</t>
    </rPh>
    <rPh sb="7" eb="10">
      <t>イチゴウセン</t>
    </rPh>
    <rPh sb="10" eb="13">
      <t>ダイカイシュウ</t>
    </rPh>
    <phoneticPr fontId="2"/>
  </si>
  <si>
    <t>坂下･沓掛</t>
    <rPh sb="0" eb="2">
      <t>サカシタ</t>
    </rPh>
    <rPh sb="3" eb="5">
      <t>クツカケ</t>
    </rPh>
    <phoneticPr fontId="2"/>
  </si>
  <si>
    <t>国道一号</t>
    <rPh sb="0" eb="2">
      <t>コクドウ</t>
    </rPh>
    <phoneticPr fontId="2"/>
  </si>
  <si>
    <t>民生事業後援会が亀山第三愛護園を野村慈恩寺に開設</t>
    <rPh sb="0" eb="2">
      <t>ミンセイ</t>
    </rPh>
    <rPh sb="2" eb="4">
      <t>ジギョウ</t>
    </rPh>
    <rPh sb="4" eb="7">
      <t>コウエンカイ</t>
    </rPh>
    <rPh sb="8" eb="10">
      <t>カメヤマ</t>
    </rPh>
    <rPh sb="10" eb="11">
      <t>ダイ</t>
    </rPh>
    <rPh sb="11" eb="12">
      <t>サン</t>
    </rPh>
    <rPh sb="12" eb="13">
      <t>アイ</t>
    </rPh>
    <rPh sb="13" eb="14">
      <t>ゴ</t>
    </rPh>
    <rPh sb="14" eb="15">
      <t>エン</t>
    </rPh>
    <rPh sb="16" eb="18">
      <t>ノムラ</t>
    </rPh>
    <rPh sb="18" eb="19">
      <t>イツク</t>
    </rPh>
    <rPh sb="19" eb="20">
      <t>オン</t>
    </rPh>
    <rPh sb="20" eb="21">
      <t>テラ</t>
    </rPh>
    <rPh sb="22" eb="24">
      <t>カイセツ</t>
    </rPh>
    <phoneticPr fontId="2"/>
  </si>
  <si>
    <t>亀山第三愛護園</t>
    <rPh sb="5" eb="6">
      <t>ゴ</t>
    </rPh>
    <phoneticPr fontId="2"/>
  </si>
  <si>
    <t>日本の歴史の中の亀山／現代の亀山／教育と医療・福祉／保育園</t>
    <phoneticPr fontId="2"/>
  </si>
  <si>
    <t>『亀山のあゆみ』P.90・P.368・年表</t>
    <rPh sb="19" eb="21">
      <t>ネンピョウ</t>
    </rPh>
    <phoneticPr fontId="2"/>
  </si>
  <si>
    <t>昭和25</t>
    <phoneticPr fontId="2"/>
  </si>
  <si>
    <t>主食の配給制度のみ続けられ、他の統制はほとんど撤廃される</t>
    <rPh sb="0" eb="2">
      <t>シュショク</t>
    </rPh>
    <rPh sb="3" eb="5">
      <t>ハイキュウ</t>
    </rPh>
    <rPh sb="5" eb="7">
      <t>セイド</t>
    </rPh>
    <rPh sb="9" eb="10">
      <t>ツヅ</t>
    </rPh>
    <rPh sb="14" eb="15">
      <t>ホカ</t>
    </rPh>
    <rPh sb="16" eb="18">
      <t>トウセイ</t>
    </rPh>
    <rPh sb="23" eb="25">
      <t>テッパイ</t>
    </rPh>
    <phoneticPr fontId="2"/>
  </si>
  <si>
    <t>原尾に野登村勾玉愛育園開設
翌年に正式認可され、野登愛育園と改称</t>
    <rPh sb="0" eb="2">
      <t>ワラビ</t>
    </rPh>
    <rPh sb="3" eb="5">
      <t>ノノボリ</t>
    </rPh>
    <rPh sb="5" eb="6">
      <t>ムラ</t>
    </rPh>
    <rPh sb="6" eb="8">
      <t>マガタマ</t>
    </rPh>
    <rPh sb="8" eb="9">
      <t>アイ</t>
    </rPh>
    <rPh sb="9" eb="10">
      <t>イク</t>
    </rPh>
    <rPh sb="10" eb="11">
      <t>エン</t>
    </rPh>
    <rPh sb="11" eb="13">
      <t>カイセツ</t>
    </rPh>
    <rPh sb="14" eb="15">
      <t>ヨク</t>
    </rPh>
    <rPh sb="15" eb="16">
      <t>ネン</t>
    </rPh>
    <rPh sb="17" eb="19">
      <t>セイシキ</t>
    </rPh>
    <rPh sb="19" eb="21">
      <t>ニンカ</t>
    </rPh>
    <rPh sb="24" eb="26">
      <t>ノノボリ</t>
    </rPh>
    <rPh sb="26" eb="27">
      <t>アイ</t>
    </rPh>
    <rPh sb="27" eb="28">
      <t>イク</t>
    </rPh>
    <rPh sb="28" eb="29">
      <t>エン</t>
    </rPh>
    <rPh sb="30" eb="32">
      <t>カイショウ</t>
    </rPh>
    <phoneticPr fontId="2"/>
  </si>
  <si>
    <t>野登</t>
    <phoneticPr fontId="2"/>
  </si>
  <si>
    <t>両尾町</t>
    <rPh sb="0" eb="3">
      <t>フタオチョウ</t>
    </rPh>
    <phoneticPr fontId="2"/>
  </si>
  <si>
    <t>野登愛育園</t>
  </si>
  <si>
    <t>『亀山のあゆみ』P367・年表</t>
    <rPh sb="13" eb="15">
      <t>ネンピョウ</t>
    </rPh>
    <phoneticPr fontId="2"/>
  </si>
  <si>
    <t>亀山町立授産場を南崎の社会館内に開設</t>
    <rPh sb="0" eb="2">
      <t>カメヤマ</t>
    </rPh>
    <rPh sb="2" eb="3">
      <t>マチ</t>
    </rPh>
    <rPh sb="3" eb="4">
      <t>リツ</t>
    </rPh>
    <rPh sb="4" eb="5">
      <t>ジュ</t>
    </rPh>
    <rPh sb="5" eb="6">
      <t>サン</t>
    </rPh>
    <rPh sb="6" eb="7">
      <t>バ</t>
    </rPh>
    <rPh sb="8" eb="9">
      <t>ミナミ</t>
    </rPh>
    <rPh sb="9" eb="10">
      <t>ザキ</t>
    </rPh>
    <rPh sb="11" eb="13">
      <t>シャカイ</t>
    </rPh>
    <rPh sb="13" eb="14">
      <t>カン</t>
    </rPh>
    <rPh sb="14" eb="15">
      <t>ナイ</t>
    </rPh>
    <rPh sb="16" eb="18">
      <t>カイセツ</t>
    </rPh>
    <phoneticPr fontId="2"/>
  </si>
  <si>
    <t>亀山町立授産場</t>
    <phoneticPr fontId="2"/>
  </si>
  <si>
    <t>亀山町文化財保護委員会発足</t>
    <rPh sb="0" eb="3">
      <t>カメヤマチョウ</t>
    </rPh>
    <rPh sb="3" eb="6">
      <t>ブンカザイ</t>
    </rPh>
    <rPh sb="6" eb="8">
      <t>ホゴ</t>
    </rPh>
    <rPh sb="8" eb="11">
      <t>イインカイ</t>
    </rPh>
    <rPh sb="11" eb="13">
      <t>ホッソク</t>
    </rPh>
    <phoneticPr fontId="2"/>
  </si>
  <si>
    <t>『亀山のあゆみ』P.85・年表</t>
    <rPh sb="13" eb="15">
      <t>ネンピョウ</t>
    </rPh>
    <phoneticPr fontId="2"/>
  </si>
  <si>
    <t>亀山町連合青年団結成</t>
    <rPh sb="0" eb="3">
      <t>カメヤマチョウ</t>
    </rPh>
    <rPh sb="3" eb="5">
      <t>レンゴウ</t>
    </rPh>
    <rPh sb="5" eb="8">
      <t>セイネンダン</t>
    </rPh>
    <rPh sb="8" eb="10">
      <t>ケッセイ</t>
    </rPh>
    <phoneticPr fontId="2"/>
  </si>
  <si>
    <t>『亀山のあゆみ』年表
『亀山市史』通史　近代現代</t>
    <rPh sb="8" eb="10">
      <t>ネンピョウ</t>
    </rPh>
    <rPh sb="12" eb="17">
      <t>カメヤマシシ」</t>
    </rPh>
    <rPh sb="17" eb="19">
      <t>ツウシ</t>
    </rPh>
    <rPh sb="20" eb="22">
      <t>キンダイ</t>
    </rPh>
    <rPh sb="22" eb="24">
      <t>ゲンダイ</t>
    </rPh>
    <phoneticPr fontId="2"/>
  </si>
  <si>
    <t>亀山商工会議所創設（東台町）</t>
    <rPh sb="0" eb="2">
      <t>カメヤマ</t>
    </rPh>
    <rPh sb="2" eb="4">
      <t>ショウコウ</t>
    </rPh>
    <rPh sb="4" eb="7">
      <t>カイギショ</t>
    </rPh>
    <rPh sb="7" eb="9">
      <t>ソウセツ</t>
    </rPh>
    <rPh sb="10" eb="12">
      <t>ヒガシダイ</t>
    </rPh>
    <rPh sb="12" eb="13">
      <t>チョウ</t>
    </rPh>
    <phoneticPr fontId="2"/>
  </si>
  <si>
    <t>東台町</t>
    <rPh sb="0" eb="3">
      <t>ヒガシダイチョウ</t>
    </rPh>
    <phoneticPr fontId="2"/>
  </si>
  <si>
    <t>亀山商工会議所</t>
  </si>
  <si>
    <t>亀山商工会議所（古写真）</t>
    <phoneticPr fontId="2"/>
  </si>
  <si>
    <t>日本の歴史の中の亀山／現代の亀山／産業／商業／商工会議所</t>
    <rPh sb="23" eb="28">
      <t>ショウコウカイギショ</t>
    </rPh>
    <phoneticPr fontId="2"/>
  </si>
  <si>
    <t>http://kameyamarekihaku.jp/kodomo/w_e_b/rekishi/gendai/sangyo/page001.html</t>
  </si>
  <si>
    <t>『亀山のあゆみ』P.81・年表
『亀山市史』通史　近代現代</t>
    <rPh sb="13" eb="15">
      <t>ネンピョウ</t>
    </rPh>
    <rPh sb="16" eb="29">
      <t>ツ</t>
    </rPh>
    <phoneticPr fontId="2"/>
  </si>
  <si>
    <t>昭和26</t>
  </si>
  <si>
    <t>サンフランシスコ平和条約を結び,独立を回復する</t>
  </si>
  <si>
    <t>亀山町に消防本部設置</t>
    <rPh sb="0" eb="3">
      <t>カメヤマチョウ</t>
    </rPh>
    <rPh sb="4" eb="6">
      <t>ショウボウ</t>
    </rPh>
    <rPh sb="6" eb="8">
      <t>ホンブ</t>
    </rPh>
    <rPh sb="8" eb="10">
      <t>セッチ</t>
    </rPh>
    <phoneticPr fontId="2"/>
  </si>
  <si>
    <t>消防本部</t>
    <rPh sb="0" eb="2">
      <t>ショウボウ</t>
    </rPh>
    <rPh sb="2" eb="4">
      <t>ホンブ</t>
    </rPh>
    <phoneticPr fontId="2"/>
  </si>
  <si>
    <t>三重大学三重師範学校亀山分校廃止、津市の本校に統合される
付属中学校・小学校・幼稚園はそれぞれ三重大学学芸学部の付属となる</t>
    <rPh sb="0" eb="2">
      <t>ミエ</t>
    </rPh>
    <rPh sb="2" eb="4">
      <t>ダイガク</t>
    </rPh>
    <rPh sb="4" eb="6">
      <t>ミエ</t>
    </rPh>
    <rPh sb="6" eb="8">
      <t>シハン</t>
    </rPh>
    <rPh sb="8" eb="10">
      <t>ガッコウ</t>
    </rPh>
    <rPh sb="10" eb="12">
      <t>カメヤマ</t>
    </rPh>
    <rPh sb="12" eb="14">
      <t>ブンコウ</t>
    </rPh>
    <rPh sb="14" eb="16">
      <t>ハイシ</t>
    </rPh>
    <rPh sb="17" eb="19">
      <t>ツシ</t>
    </rPh>
    <rPh sb="20" eb="21">
      <t>ホン</t>
    </rPh>
    <rPh sb="21" eb="22">
      <t>コウ</t>
    </rPh>
    <rPh sb="23" eb="25">
      <t>トウゴウ</t>
    </rPh>
    <rPh sb="29" eb="31">
      <t>フゾク</t>
    </rPh>
    <rPh sb="31" eb="34">
      <t>チュウガッコウ</t>
    </rPh>
    <rPh sb="35" eb="38">
      <t>ショウガッコウ</t>
    </rPh>
    <rPh sb="39" eb="42">
      <t>ヨウチエン</t>
    </rPh>
    <rPh sb="47" eb="49">
      <t>ミエ</t>
    </rPh>
    <rPh sb="49" eb="51">
      <t>ダイガク</t>
    </rPh>
    <rPh sb="51" eb="53">
      <t>ガクゲイ</t>
    </rPh>
    <rPh sb="53" eb="55">
      <t>ガクブ</t>
    </rPh>
    <rPh sb="56" eb="58">
      <t>フゾク</t>
    </rPh>
    <phoneticPr fontId="2"/>
  </si>
  <si>
    <t>三重大学三重師範学校亀山分校</t>
    <phoneticPr fontId="2"/>
  </si>
  <si>
    <t>亀山町公民館開館
図書館の三階をこれに充てる</t>
    <rPh sb="0" eb="3">
      <t>カメヤマチョウ</t>
    </rPh>
    <rPh sb="3" eb="6">
      <t>コウミンカン</t>
    </rPh>
    <rPh sb="6" eb="8">
      <t>カイカン</t>
    </rPh>
    <rPh sb="9" eb="12">
      <t>トショカン</t>
    </rPh>
    <rPh sb="13" eb="15">
      <t>サンカイ</t>
    </rPh>
    <rPh sb="19" eb="20">
      <t>ア</t>
    </rPh>
    <phoneticPr fontId="2"/>
  </si>
  <si>
    <t>亀山町公民館</t>
    <phoneticPr fontId="2"/>
  </si>
  <si>
    <t>『亀山のあゆみ』P.88・P.421・年表</t>
    <rPh sb="19" eb="21">
      <t>ネンピョウ</t>
    </rPh>
    <phoneticPr fontId="2"/>
  </si>
  <si>
    <t>亀山簡易裁判所と亀山検察庁を南崎の元実業学校跡に新築し、旧館から移転</t>
    <rPh sb="0" eb="2">
      <t>カメヤマ</t>
    </rPh>
    <rPh sb="2" eb="4">
      <t>カンイ</t>
    </rPh>
    <rPh sb="4" eb="6">
      <t>サイバン</t>
    </rPh>
    <rPh sb="6" eb="7">
      <t>ショ</t>
    </rPh>
    <rPh sb="8" eb="10">
      <t>カメヤマ</t>
    </rPh>
    <rPh sb="10" eb="13">
      <t>ケンサツチョウ</t>
    </rPh>
    <rPh sb="14" eb="15">
      <t>ミナミ</t>
    </rPh>
    <rPh sb="15" eb="16">
      <t>ザキ</t>
    </rPh>
    <rPh sb="17" eb="18">
      <t>モト</t>
    </rPh>
    <rPh sb="18" eb="20">
      <t>ジツギョウ</t>
    </rPh>
    <rPh sb="20" eb="22">
      <t>ガッコウ</t>
    </rPh>
    <rPh sb="22" eb="23">
      <t>アト</t>
    </rPh>
    <rPh sb="24" eb="26">
      <t>シンチク</t>
    </rPh>
    <rPh sb="28" eb="29">
      <t>キュウ</t>
    </rPh>
    <rPh sb="29" eb="30">
      <t>カン</t>
    </rPh>
    <rPh sb="32" eb="34">
      <t>イテン</t>
    </rPh>
    <phoneticPr fontId="2"/>
  </si>
  <si>
    <t>亀山簡易裁判所・亀山検察庁</t>
    <phoneticPr fontId="2"/>
  </si>
  <si>
    <t>西部中学校が神辺村会下に校舎を新築し、移転</t>
    <rPh sb="0" eb="2">
      <t>セイブ</t>
    </rPh>
    <rPh sb="2" eb="5">
      <t>チュウガッコウ</t>
    </rPh>
    <rPh sb="6" eb="8">
      <t>カンベ</t>
    </rPh>
    <rPh sb="8" eb="9">
      <t>ムラ</t>
    </rPh>
    <rPh sb="9" eb="11">
      <t>エゲ</t>
    </rPh>
    <rPh sb="12" eb="14">
      <t>コウシャ</t>
    </rPh>
    <rPh sb="15" eb="17">
      <t>シンチク</t>
    </rPh>
    <rPh sb="19" eb="21">
      <t>イテン</t>
    </rPh>
    <phoneticPr fontId="2"/>
  </si>
  <si>
    <t>関町会下</t>
    <rPh sb="0" eb="1">
      <t>セキ</t>
    </rPh>
    <rPh sb="1" eb="2">
      <t>チョウ</t>
    </rPh>
    <phoneticPr fontId="2"/>
  </si>
  <si>
    <t>西部中学校</t>
    <phoneticPr fontId="2"/>
  </si>
  <si>
    <t>『亀山のあゆみ』P.87・年表
『鈴鹿関町史』下巻年表
『亀山市史』歴史分野
『鈴鹿関町史』下巻年表</t>
    <rPh sb="13" eb="15">
      <t>ネンピョウ</t>
    </rPh>
    <rPh sb="29" eb="32">
      <t>カメヤマシ</t>
    </rPh>
    <rPh sb="32" eb="33">
      <t>シ</t>
    </rPh>
    <rPh sb="34" eb="36">
      <t>レキシ</t>
    </rPh>
    <rPh sb="36" eb="38">
      <t>ブンヤ</t>
    </rPh>
    <rPh sb="40" eb="42">
      <t>スズカ</t>
    </rPh>
    <rPh sb="42" eb="44">
      <t>セキチョウ</t>
    </rPh>
    <rPh sb="44" eb="45">
      <t>シ</t>
    </rPh>
    <rPh sb="46" eb="48">
      <t>ゲカン</t>
    </rPh>
    <rPh sb="48" eb="50">
      <t>ネンピョウ</t>
    </rPh>
    <phoneticPr fontId="2"/>
  </si>
  <si>
    <t>亀山町警察署を廃止</t>
    <rPh sb="0" eb="2">
      <t>カメヤマ</t>
    </rPh>
    <rPh sb="2" eb="3">
      <t>マチ</t>
    </rPh>
    <rPh sb="3" eb="6">
      <t>ケイサツショ</t>
    </rPh>
    <rPh sb="7" eb="9">
      <t>ハイシ</t>
    </rPh>
    <phoneticPr fontId="2"/>
  </si>
  <si>
    <t>亀山町警察署庁舎</t>
    <phoneticPr fontId="2"/>
  </si>
  <si>
    <t>組合立中部中学校が川崎村長明寺に校舎新築落成</t>
    <rPh sb="0" eb="2">
      <t>クミアイ</t>
    </rPh>
    <rPh sb="2" eb="3">
      <t>リツ</t>
    </rPh>
    <rPh sb="3" eb="5">
      <t>チュウブ</t>
    </rPh>
    <rPh sb="5" eb="8">
      <t>チュウガッコウ</t>
    </rPh>
    <rPh sb="9" eb="11">
      <t>カワサキ</t>
    </rPh>
    <rPh sb="11" eb="12">
      <t>ムラ</t>
    </rPh>
    <rPh sb="12" eb="15">
      <t>チョウミョウジ</t>
    </rPh>
    <rPh sb="16" eb="18">
      <t>コウシャ</t>
    </rPh>
    <rPh sb="18" eb="20">
      <t>シンチク</t>
    </rPh>
    <rPh sb="20" eb="22">
      <t>ラクセイ</t>
    </rPh>
    <phoneticPr fontId="2"/>
  </si>
  <si>
    <t>井田川･川崎･野登</t>
    <rPh sb="0" eb="3">
      <t>イダガワ</t>
    </rPh>
    <rPh sb="4" eb="6">
      <t>カワサキ</t>
    </rPh>
    <rPh sb="7" eb="9">
      <t>ノノボリ</t>
    </rPh>
    <phoneticPr fontId="2"/>
  </si>
  <si>
    <t>長明寺町</t>
    <rPh sb="0" eb="1">
      <t>チョウ</t>
    </rPh>
    <rPh sb="1" eb="2">
      <t>メイ</t>
    </rPh>
    <rPh sb="2" eb="3">
      <t>デラ</t>
    </rPh>
    <rPh sb="3" eb="4">
      <t>チョウ</t>
    </rPh>
    <phoneticPr fontId="2"/>
  </si>
  <si>
    <t>中部中学校</t>
    <rPh sb="0" eb="2">
      <t>チュウブ</t>
    </rPh>
    <rPh sb="2" eb="5">
      <t>チュウガッコウ</t>
    </rPh>
    <phoneticPr fontId="2"/>
  </si>
  <si>
    <t>『亀山のあゆみ』P.87・年表</t>
    <rPh sb="13" eb="15">
      <t>ネンピョウ</t>
    </rPh>
    <phoneticPr fontId="2"/>
  </si>
  <si>
    <t>昭和天皇が亀山へ行幸する
亀山駅前に鈴鹿郡奉迎場が設けられる</t>
    <rPh sb="13" eb="15">
      <t>カメヤマ</t>
    </rPh>
    <rPh sb="15" eb="17">
      <t>エキマエ</t>
    </rPh>
    <rPh sb="18" eb="21">
      <t>スズカグン</t>
    </rPh>
    <rPh sb="21" eb="22">
      <t>タテマツ</t>
    </rPh>
    <rPh sb="22" eb="23">
      <t>ムカ</t>
    </rPh>
    <rPh sb="23" eb="24">
      <t>バ</t>
    </rPh>
    <rPh sb="25" eb="26">
      <t>モウ</t>
    </rPh>
    <phoneticPr fontId="2"/>
  </si>
  <si>
    <t>御幸町</t>
    <rPh sb="0" eb="3">
      <t>ミユキチョウ</t>
    </rPh>
    <phoneticPr fontId="2"/>
  </si>
  <si>
    <t>亀山駅</t>
    <rPh sb="0" eb="3">
      <t>カメヤマエキ</t>
    </rPh>
    <phoneticPr fontId="2"/>
  </si>
  <si>
    <t>昭和天皇</t>
    <rPh sb="0" eb="2">
      <t>ショウワ</t>
    </rPh>
    <rPh sb="2" eb="4">
      <t>テンノウ</t>
    </rPh>
    <phoneticPr fontId="2"/>
  </si>
  <si>
    <t>亀山駅前奉迎写真</t>
    <rPh sb="0" eb="2">
      <t>カメヤマ</t>
    </rPh>
    <rPh sb="2" eb="4">
      <t>エキマエ</t>
    </rPh>
    <rPh sb="4" eb="6">
      <t>ホウゲイ</t>
    </rPh>
    <rPh sb="6" eb="8">
      <t>シャシン</t>
    </rPh>
    <phoneticPr fontId="2"/>
  </si>
  <si>
    <t>アメリカと日米安全保障条約を結ぶ</t>
    <phoneticPr fontId="2"/>
  </si>
  <si>
    <t>昭和27</t>
    <phoneticPr fontId="2"/>
  </si>
  <si>
    <t>第三愛護園が南野村に新築、野村慈恩寺より移転</t>
    <rPh sb="0" eb="1">
      <t>ダイ</t>
    </rPh>
    <rPh sb="1" eb="2">
      <t>サン</t>
    </rPh>
    <rPh sb="2" eb="3">
      <t>アイ</t>
    </rPh>
    <rPh sb="3" eb="4">
      <t>マモル</t>
    </rPh>
    <rPh sb="4" eb="5">
      <t>エン</t>
    </rPh>
    <rPh sb="6" eb="8">
      <t>ミナミノ</t>
    </rPh>
    <rPh sb="8" eb="9">
      <t>ムラ</t>
    </rPh>
    <rPh sb="10" eb="12">
      <t>シンチク</t>
    </rPh>
    <rPh sb="13" eb="15">
      <t>ノムラ</t>
    </rPh>
    <rPh sb="15" eb="16">
      <t>イツク</t>
    </rPh>
    <rPh sb="16" eb="17">
      <t>オン</t>
    </rPh>
    <rPh sb="17" eb="18">
      <t>テラ</t>
    </rPh>
    <rPh sb="20" eb="22">
      <t>イテン</t>
    </rPh>
    <phoneticPr fontId="2"/>
  </si>
  <si>
    <t>南野町</t>
    <rPh sb="0" eb="2">
      <t>ミナミノ</t>
    </rPh>
    <rPh sb="2" eb="3">
      <t>チョウ</t>
    </rPh>
    <phoneticPr fontId="2"/>
  </si>
  <si>
    <t>第三愛護園</t>
    <phoneticPr fontId="2"/>
  </si>
  <si>
    <t>日本の歴史の中の亀山／現代の亀山／教育と医療・福祉／保育園</t>
    <phoneticPr fontId="2"/>
  </si>
  <si>
    <t>『亀山のあゆみ』P.90・年表</t>
    <rPh sb="13" eb="15">
      <t>ネンピョウ</t>
    </rPh>
    <phoneticPr fontId="2"/>
  </si>
  <si>
    <t>東京～伊勢間であった国道１号が東京～大阪間となる
追分から伊勢間は一般国道23号線になる</t>
    <rPh sb="0" eb="2">
      <t>トウキョウ</t>
    </rPh>
    <rPh sb="3" eb="5">
      <t>イセ</t>
    </rPh>
    <rPh sb="5" eb="6">
      <t>アイダ</t>
    </rPh>
    <rPh sb="10" eb="12">
      <t>コクドウ</t>
    </rPh>
    <rPh sb="13" eb="14">
      <t>ゴウ</t>
    </rPh>
    <rPh sb="15" eb="17">
      <t>トウキョウ</t>
    </rPh>
    <rPh sb="18" eb="20">
      <t>オオサカ</t>
    </rPh>
    <rPh sb="20" eb="21">
      <t>アイダ</t>
    </rPh>
    <rPh sb="25" eb="27">
      <t>オイワケ</t>
    </rPh>
    <rPh sb="29" eb="31">
      <t>イセ</t>
    </rPh>
    <rPh sb="31" eb="32">
      <t>アイダ</t>
    </rPh>
    <rPh sb="33" eb="35">
      <t>イッパン</t>
    </rPh>
    <rPh sb="35" eb="37">
      <t>コクドウ</t>
    </rPh>
    <rPh sb="39" eb="41">
      <t>ゴウセン</t>
    </rPh>
    <phoneticPr fontId="2"/>
  </si>
  <si>
    <t>国道１号</t>
    <phoneticPr fontId="2"/>
  </si>
  <si>
    <t>三重交通バス亀山駅前～白子間開通</t>
    <rPh sb="0" eb="2">
      <t>ミエ</t>
    </rPh>
    <rPh sb="2" eb="4">
      <t>コウツウ</t>
    </rPh>
    <rPh sb="6" eb="8">
      <t>カメヤマ</t>
    </rPh>
    <rPh sb="8" eb="10">
      <t>エキマエ</t>
    </rPh>
    <rPh sb="11" eb="13">
      <t>シロコ</t>
    </rPh>
    <rPh sb="13" eb="14">
      <t>アイダ</t>
    </rPh>
    <rPh sb="14" eb="16">
      <t>カイツウ</t>
    </rPh>
    <phoneticPr fontId="2"/>
  </si>
  <si>
    <t>三重交通バス</t>
  </si>
  <si>
    <t>三重大学付属亀山小・中学校全焼</t>
    <rPh sb="0" eb="2">
      <t>ミエ</t>
    </rPh>
    <rPh sb="2" eb="4">
      <t>ダイガク</t>
    </rPh>
    <rPh sb="4" eb="6">
      <t>フゾク</t>
    </rPh>
    <rPh sb="6" eb="8">
      <t>カメヤマ</t>
    </rPh>
    <rPh sb="8" eb="9">
      <t>ショウ</t>
    </rPh>
    <rPh sb="10" eb="13">
      <t>チュウガッコウ</t>
    </rPh>
    <rPh sb="13" eb="15">
      <t>ゼンショウ</t>
    </rPh>
    <phoneticPr fontId="2"/>
  </si>
  <si>
    <t>三重大学付属亀山小・中学校</t>
    <phoneticPr fontId="2"/>
  </si>
  <si>
    <t>小林尚志家写真</t>
    <rPh sb="0" eb="2">
      <t>コバヤシ</t>
    </rPh>
    <rPh sb="2" eb="3">
      <t>ヒサシ</t>
    </rPh>
    <rPh sb="3" eb="4">
      <t>シ</t>
    </rPh>
    <rPh sb="4" eb="5">
      <t>ケ</t>
    </rPh>
    <rPh sb="5" eb="7">
      <t>シャシン</t>
    </rPh>
    <phoneticPr fontId="2"/>
  </si>
  <si>
    <t>『亀山のあゆみ』P.88・年表
朝日新聞（５／６付）
伊勢新聞（５／７付）</t>
    <rPh sb="13" eb="15">
      <t>ネンピョウ</t>
    </rPh>
    <rPh sb="16" eb="18">
      <t>アサヒ</t>
    </rPh>
    <rPh sb="18" eb="20">
      <t>シンブン</t>
    </rPh>
    <rPh sb="24" eb="25">
      <t>ツ</t>
    </rPh>
    <rPh sb="27" eb="29">
      <t>イセ</t>
    </rPh>
    <rPh sb="29" eb="31">
      <t>シンブン</t>
    </rPh>
    <rPh sb="35" eb="36">
      <t>ツ</t>
    </rPh>
    <phoneticPr fontId="2"/>
  </si>
  <si>
    <t>昭和28</t>
    <phoneticPr fontId="2"/>
  </si>
  <si>
    <t>鈴鹿川にかかる神辺大橋が永久橋となる</t>
    <rPh sb="0" eb="2">
      <t>スズカ</t>
    </rPh>
    <rPh sb="2" eb="3">
      <t>ガワ</t>
    </rPh>
    <rPh sb="7" eb="9">
      <t>カンベ</t>
    </rPh>
    <rPh sb="9" eb="11">
      <t>オオハシ</t>
    </rPh>
    <rPh sb="12" eb="14">
      <t>エイキュウ</t>
    </rPh>
    <rPh sb="14" eb="15">
      <t>ハシ</t>
    </rPh>
    <phoneticPr fontId="2"/>
  </si>
  <si>
    <t>太岡寺町・山下町</t>
    <rPh sb="0" eb="4">
      <t>タイコウジチョウ</t>
    </rPh>
    <rPh sb="5" eb="8">
      <t>ヤマシタチョウ</t>
    </rPh>
    <phoneticPr fontId="2"/>
  </si>
  <si>
    <t>神辺大橋</t>
    <phoneticPr fontId="2"/>
  </si>
  <si>
    <t>亀山のいいとこさがし／景色のよいところや歴史を知る手掛かりとなるもの／川</t>
    <phoneticPr fontId="2"/>
  </si>
  <si>
    <t>昭和28</t>
    <phoneticPr fontId="2"/>
  </si>
  <si>
    <t>台風13号の被害、堤防決壊、田畑の冠水などあり</t>
    <rPh sb="0" eb="2">
      <t>タイフウ</t>
    </rPh>
    <rPh sb="4" eb="5">
      <t>ゴウ</t>
    </rPh>
    <rPh sb="6" eb="8">
      <t>ヒガイ</t>
    </rPh>
    <rPh sb="9" eb="11">
      <t>テイボウ</t>
    </rPh>
    <rPh sb="11" eb="13">
      <t>ケッカイ</t>
    </rPh>
    <rPh sb="14" eb="16">
      <t>タハタ</t>
    </rPh>
    <rPh sb="17" eb="19">
      <t>カンスイ</t>
    </rPh>
    <phoneticPr fontId="2"/>
  </si>
  <si>
    <t>『亀山のあゆみ』年表</t>
    <rPh sb="8" eb="10">
      <t>ネ</t>
    </rPh>
    <phoneticPr fontId="2"/>
  </si>
  <si>
    <t>三重大学付属亀山小・中学校校舎が再建竣工</t>
    <rPh sb="0" eb="2">
      <t>ミエ</t>
    </rPh>
    <rPh sb="2" eb="4">
      <t>ダイガク</t>
    </rPh>
    <rPh sb="4" eb="6">
      <t>フゾク</t>
    </rPh>
    <rPh sb="6" eb="8">
      <t>カメヤマ</t>
    </rPh>
    <rPh sb="8" eb="9">
      <t>ショウ</t>
    </rPh>
    <rPh sb="10" eb="13">
      <t>チュウガッコウ</t>
    </rPh>
    <rPh sb="13" eb="15">
      <t>コウシャ</t>
    </rPh>
    <rPh sb="16" eb="18">
      <t>サイケン</t>
    </rPh>
    <rPh sb="18" eb="20">
      <t>シュンコウ</t>
    </rPh>
    <phoneticPr fontId="2"/>
  </si>
  <si>
    <t>三重大学付属亀山小・中学校</t>
    <phoneticPr fontId="2"/>
  </si>
  <si>
    <t>昭和28</t>
  </si>
  <si>
    <t>奄美諸島が日本に復帰する</t>
    <phoneticPr fontId="2"/>
  </si>
  <si>
    <t>昭和時代</t>
    <phoneticPr fontId="2"/>
  </si>
  <si>
    <t>亀山城多門櫓、石上寺文書が県文化財に指定される</t>
    <rPh sb="0" eb="2">
      <t>カメヤマ</t>
    </rPh>
    <rPh sb="2" eb="3">
      <t>シロ</t>
    </rPh>
    <rPh sb="3" eb="5">
      <t>タモン</t>
    </rPh>
    <rPh sb="5" eb="6">
      <t>ヤグラ</t>
    </rPh>
    <rPh sb="7" eb="8">
      <t>イシ</t>
    </rPh>
    <rPh sb="8" eb="9">
      <t>ウエ</t>
    </rPh>
    <rPh sb="9" eb="10">
      <t>テラ</t>
    </rPh>
    <rPh sb="10" eb="12">
      <t>モンジョ</t>
    </rPh>
    <rPh sb="13" eb="14">
      <t>ケン</t>
    </rPh>
    <rPh sb="14" eb="17">
      <t>ブンカザイ</t>
    </rPh>
    <rPh sb="18" eb="20">
      <t>シテイ</t>
    </rPh>
    <phoneticPr fontId="2"/>
  </si>
  <si>
    <t>亀山城跡</t>
    <phoneticPr fontId="2"/>
  </si>
  <si>
    <t>多門櫓</t>
    <phoneticPr fontId="2"/>
  </si>
  <si>
    <t>亀山城と宿場／亀山城のつくり／櫓／多門櫓</t>
    <phoneticPr fontId="2"/>
  </si>
  <si>
    <t>『亀山のあゆみ』P.84・P.448・年表
第九回企画展『石上寺文書の世界』
『歴史ひろば』</t>
    <rPh sb="19" eb="21">
      <t>ネ</t>
    </rPh>
    <rPh sb="22" eb="23">
      <t>ダイ</t>
    </rPh>
    <rPh sb="23" eb="25">
      <t>９カイ</t>
    </rPh>
    <rPh sb="25" eb="28">
      <t>キカクテン</t>
    </rPh>
    <rPh sb="29" eb="30">
      <t>セキ</t>
    </rPh>
    <rPh sb="30" eb="31">
      <t>ジョウ</t>
    </rPh>
    <rPh sb="31" eb="32">
      <t>ジ</t>
    </rPh>
    <rPh sb="32" eb="34">
      <t>モンジョ</t>
    </rPh>
    <rPh sb="35" eb="37">
      <t>セカイ</t>
    </rPh>
    <phoneticPr fontId="2"/>
  </si>
  <si>
    <t>石上寺文書</t>
    <phoneticPr fontId="2"/>
  </si>
  <si>
    <t>日本の歴史の中の亀山／中世の亀山／武士の台頭と亀山／仏教の広がり／石上寺文書</t>
    <phoneticPr fontId="2"/>
  </si>
  <si>
    <t>亀山のいいとこさがし／手紙や本／手紙や記録など／石上寺文書</t>
    <phoneticPr fontId="2"/>
  </si>
  <si>
    <t>昭和時代</t>
    <phoneticPr fontId="2"/>
  </si>
  <si>
    <t>田植えする農家に特別に酒の配給が行われる
清酒２級５合と合成酒１級か２級または焼酎の内希望するもの５合の合計１升</t>
    <rPh sb="0" eb="2">
      <t>タウ</t>
    </rPh>
    <rPh sb="5" eb="7">
      <t>ノウカ</t>
    </rPh>
    <rPh sb="8" eb="10">
      <t>トクベツ</t>
    </rPh>
    <rPh sb="11" eb="12">
      <t>サケ</t>
    </rPh>
    <rPh sb="13" eb="15">
      <t>ハイキュウ</t>
    </rPh>
    <rPh sb="16" eb="17">
      <t>オコ</t>
    </rPh>
    <rPh sb="21" eb="23">
      <t>セイシュ</t>
    </rPh>
    <rPh sb="24" eb="25">
      <t>キュウ</t>
    </rPh>
    <rPh sb="26" eb="27">
      <t>ゴウ</t>
    </rPh>
    <rPh sb="28" eb="30">
      <t>ゴウセイ</t>
    </rPh>
    <rPh sb="30" eb="31">
      <t>サケ</t>
    </rPh>
    <rPh sb="32" eb="33">
      <t>キュウ</t>
    </rPh>
    <rPh sb="35" eb="36">
      <t>キュウ</t>
    </rPh>
    <rPh sb="39" eb="41">
      <t>ショウチュウ</t>
    </rPh>
    <rPh sb="42" eb="43">
      <t>ウチ</t>
    </rPh>
    <rPh sb="43" eb="45">
      <t>キボウ</t>
    </rPh>
    <rPh sb="50" eb="51">
      <t>ゴウ</t>
    </rPh>
    <rPh sb="52" eb="54">
      <t>ゴウケイ</t>
    </rPh>
    <rPh sb="55" eb="56">
      <t>マス</t>
    </rPh>
    <phoneticPr fontId="2"/>
  </si>
  <si>
    <t>鈴関珠算学校（昭和22年3月設置）、鈴関高等商業学校と改称</t>
    <rPh sb="0" eb="1">
      <t>スズ</t>
    </rPh>
    <rPh sb="1" eb="2">
      <t>セキ</t>
    </rPh>
    <rPh sb="2" eb="4">
      <t>シュザン</t>
    </rPh>
    <rPh sb="4" eb="6">
      <t>ガッコウ</t>
    </rPh>
    <rPh sb="7" eb="9">
      <t>ショウワ</t>
    </rPh>
    <rPh sb="11" eb="12">
      <t>ネン</t>
    </rPh>
    <rPh sb="13" eb="14">
      <t>ガツ</t>
    </rPh>
    <rPh sb="14" eb="16">
      <t>セッチ</t>
    </rPh>
    <rPh sb="18" eb="19">
      <t>スズ</t>
    </rPh>
    <rPh sb="19" eb="20">
      <t>セキ</t>
    </rPh>
    <rPh sb="20" eb="22">
      <t>コウトウ</t>
    </rPh>
    <rPh sb="22" eb="24">
      <t>ショウギョウ</t>
    </rPh>
    <rPh sb="24" eb="26">
      <t>ガッコウ</t>
    </rPh>
    <rPh sb="27" eb="29">
      <t>カイショウ</t>
    </rPh>
    <phoneticPr fontId="2"/>
  </si>
  <si>
    <t>鈴関珠算学校・鈴関高等商業学校</t>
    <phoneticPr fontId="2"/>
  </si>
  <si>
    <t>昭和29</t>
  </si>
  <si>
    <t>自衛隊が設置される</t>
    <phoneticPr fontId="2"/>
  </si>
  <si>
    <r>
      <t>昭和2</t>
    </r>
    <r>
      <rPr>
        <sz val="11"/>
        <rFont val="ＭＳ Ｐゴシック"/>
        <family val="3"/>
        <charset val="128"/>
      </rPr>
      <t>9</t>
    </r>
    <phoneticPr fontId="2"/>
  </si>
  <si>
    <t>亀山出身の衣笠貞之助監督『地獄門』がカンヌ国際映画祭グランプリ受賞</t>
    <rPh sb="0" eb="2">
      <t>カメヤマ</t>
    </rPh>
    <rPh sb="2" eb="4">
      <t>シュッシン</t>
    </rPh>
    <phoneticPr fontId="2"/>
  </si>
  <si>
    <t>衣笠貞之助</t>
  </si>
  <si>
    <t>図録：第25回企画展「衣笠貞之助-映画に魅せられた生涯」</t>
    <phoneticPr fontId="2"/>
  </si>
  <si>
    <t>亀山電報電話局が東丸に局舎を新築、亀山郵便局舎より移転</t>
    <rPh sb="0" eb="2">
      <t>カメヤマ</t>
    </rPh>
    <rPh sb="2" eb="4">
      <t>デンポウ</t>
    </rPh>
    <rPh sb="4" eb="6">
      <t>デンワ</t>
    </rPh>
    <rPh sb="6" eb="7">
      <t>キョク</t>
    </rPh>
    <rPh sb="8" eb="9">
      <t>ヒガシ</t>
    </rPh>
    <rPh sb="9" eb="10">
      <t>マル</t>
    </rPh>
    <rPh sb="11" eb="12">
      <t>キョク</t>
    </rPh>
    <rPh sb="12" eb="13">
      <t>シャ</t>
    </rPh>
    <rPh sb="14" eb="16">
      <t>シンチク</t>
    </rPh>
    <rPh sb="17" eb="19">
      <t>カメヤマ</t>
    </rPh>
    <rPh sb="19" eb="21">
      <t>ユウビン</t>
    </rPh>
    <rPh sb="21" eb="22">
      <t>キョク</t>
    </rPh>
    <rPh sb="22" eb="23">
      <t>シャ</t>
    </rPh>
    <rPh sb="25" eb="27">
      <t>イテン</t>
    </rPh>
    <phoneticPr fontId="2"/>
  </si>
  <si>
    <t>東丸町</t>
    <rPh sb="0" eb="1">
      <t>ヒガシ</t>
    </rPh>
    <rPh sb="1" eb="2">
      <t>マル</t>
    </rPh>
    <rPh sb="2" eb="3">
      <t>チョウ</t>
    </rPh>
    <phoneticPr fontId="2"/>
  </si>
  <si>
    <t>亀山電報電話局</t>
    <phoneticPr fontId="2"/>
  </si>
  <si>
    <t>日本の歴史の中の亀山／現代の亀山／交通と通信／電話（電報電話局）</t>
    <phoneticPr fontId="2"/>
  </si>
  <si>
    <t>自治会長協議会で、従来、亀山町の盆は全て8月であったのを今年から市街地は7月盆、他は8月盆にするよう申し合わす</t>
    <rPh sb="0" eb="3">
      <t>ジチカイ</t>
    </rPh>
    <rPh sb="3" eb="4">
      <t>オサ</t>
    </rPh>
    <rPh sb="4" eb="7">
      <t>キョウギカイ</t>
    </rPh>
    <rPh sb="9" eb="11">
      <t>ジュウライ</t>
    </rPh>
    <rPh sb="12" eb="14">
      <t>カメヤマ</t>
    </rPh>
    <rPh sb="14" eb="15">
      <t>マチ</t>
    </rPh>
    <rPh sb="16" eb="17">
      <t>ボン</t>
    </rPh>
    <rPh sb="18" eb="19">
      <t>スベ</t>
    </rPh>
    <rPh sb="21" eb="22">
      <t>ガツ</t>
    </rPh>
    <rPh sb="28" eb="30">
      <t>コトシ</t>
    </rPh>
    <rPh sb="32" eb="34">
      <t>シガイ</t>
    </rPh>
    <rPh sb="34" eb="35">
      <t>チ</t>
    </rPh>
    <rPh sb="37" eb="38">
      <t>ガツ</t>
    </rPh>
    <rPh sb="38" eb="39">
      <t>ボン</t>
    </rPh>
    <rPh sb="40" eb="41">
      <t>ホカ</t>
    </rPh>
    <rPh sb="43" eb="44">
      <t>ガツ</t>
    </rPh>
    <rPh sb="44" eb="45">
      <t>ボン</t>
    </rPh>
    <rPh sb="50" eb="51">
      <t>モウ</t>
    </rPh>
    <rPh sb="52" eb="53">
      <t>ア</t>
    </rPh>
    <phoneticPr fontId="2"/>
  </si>
  <si>
    <t>井田川村の４村落民、亀山町へ合併反対でデモ</t>
    <rPh sb="0" eb="3">
      <t>イダガワ</t>
    </rPh>
    <rPh sb="3" eb="4">
      <t>ムラ</t>
    </rPh>
    <rPh sb="6" eb="8">
      <t>ソンラク</t>
    </rPh>
    <rPh sb="8" eb="9">
      <t>ミン</t>
    </rPh>
    <rPh sb="10" eb="12">
      <t>カメヤマ</t>
    </rPh>
    <rPh sb="12" eb="13">
      <t>マチ</t>
    </rPh>
    <rPh sb="14" eb="16">
      <t>ガッペイ</t>
    </rPh>
    <rPh sb="16" eb="18">
      <t>ハンタイ</t>
    </rPh>
    <phoneticPr fontId="2"/>
  </si>
  <si>
    <t>『亀山のあゆみ』P.98・年表</t>
    <rPh sb="13" eb="15">
      <t>ネ</t>
    </rPh>
    <phoneticPr fontId="2"/>
  </si>
  <si>
    <t>亀山町営塵芥焼却場が若山に完成</t>
    <rPh sb="0" eb="2">
      <t>カメヤマ</t>
    </rPh>
    <rPh sb="2" eb="3">
      <t>マチ</t>
    </rPh>
    <rPh sb="3" eb="4">
      <t>エイ</t>
    </rPh>
    <rPh sb="4" eb="6">
      <t>ジンカイ</t>
    </rPh>
    <rPh sb="6" eb="8">
      <t>ショウキャク</t>
    </rPh>
    <rPh sb="8" eb="9">
      <t>バ</t>
    </rPh>
    <rPh sb="10" eb="12">
      <t>ワカヤマ</t>
    </rPh>
    <rPh sb="13" eb="15">
      <t>カンセイ</t>
    </rPh>
    <phoneticPr fontId="2"/>
  </si>
  <si>
    <t>若山</t>
    <rPh sb="0" eb="2">
      <t>ワカヤマ</t>
    </rPh>
    <phoneticPr fontId="2"/>
  </si>
  <si>
    <t>亀山町営塵芥焼却場</t>
    <phoneticPr fontId="2"/>
  </si>
  <si>
    <t>亀山市制施行</t>
  </si>
  <si>
    <t>旧役場文書</t>
    <rPh sb="0" eb="1">
      <t>キュウ</t>
    </rPh>
    <rPh sb="1" eb="3">
      <t>ヤクバ</t>
    </rPh>
    <rPh sb="3" eb="5">
      <t>ブンショ</t>
    </rPh>
    <phoneticPr fontId="2"/>
  </si>
  <si>
    <t>日本の歴史の中の亀山／現代の亀山／行政と政治／合併による亀山市、関町の誕生</t>
    <rPh sb="0" eb="2">
      <t>ニホン</t>
    </rPh>
    <phoneticPr fontId="2"/>
  </si>
  <si>
    <t>http://kameyamarekihaku.jp/kodomo/w_e_b/rekishi/gendai/gyosei/gappei/index.html</t>
  </si>
  <si>
    <t>『亀山のあゆみ』P.99・年表
『亀山市史』歴史分野</t>
    <rPh sb="13" eb="15">
      <t>ネンピョウ</t>
    </rPh>
    <rPh sb="17" eb="20">
      <t>カメヤマシ</t>
    </rPh>
    <rPh sb="20" eb="21">
      <t>シ</t>
    </rPh>
    <rPh sb="22" eb="24">
      <t>レキシ</t>
    </rPh>
    <rPh sb="24" eb="26">
      <t>ブンヤ</t>
    </rPh>
    <phoneticPr fontId="2"/>
  </si>
  <si>
    <t>井田川地区東部（小田・和泉・西富田・中富田）が鈴鹿市に編入
井田川小学校は学校組合立となる</t>
    <rPh sb="0" eb="3">
      <t>イダガワ</t>
    </rPh>
    <rPh sb="3" eb="5">
      <t>チク</t>
    </rPh>
    <rPh sb="5" eb="7">
      <t>トウブ</t>
    </rPh>
    <rPh sb="8" eb="10">
      <t>オダ</t>
    </rPh>
    <rPh sb="11" eb="13">
      <t>イズミ</t>
    </rPh>
    <rPh sb="14" eb="17">
      <t>ニシトミダ</t>
    </rPh>
    <rPh sb="18" eb="19">
      <t>ナカ</t>
    </rPh>
    <rPh sb="19" eb="21">
      <t>トミダ</t>
    </rPh>
    <rPh sb="23" eb="26">
      <t>スズカシ</t>
    </rPh>
    <rPh sb="27" eb="29">
      <t>ヘンニュウ</t>
    </rPh>
    <rPh sb="30" eb="33">
      <t>イダガワ</t>
    </rPh>
    <rPh sb="33" eb="36">
      <t>ショウガッコウ</t>
    </rPh>
    <rPh sb="37" eb="39">
      <t>ガッコウ</t>
    </rPh>
    <rPh sb="39" eb="41">
      <t>クミアイ</t>
    </rPh>
    <rPh sb="41" eb="42">
      <t>リツ</t>
    </rPh>
    <phoneticPr fontId="2"/>
  </si>
  <si>
    <t>学校のあゆみ／井田川小学校のれきし</t>
    <rPh sb="7" eb="10">
      <t>イダガワ</t>
    </rPh>
    <phoneticPr fontId="2"/>
  </si>
  <si>
    <t>http://kameyamarekihaku.jp/kodomo/w_e_b/ayumi/page013.html</t>
  </si>
  <si>
    <t>『亀山のあゆみ』P.101・P.387・年表
『亀山市史』歴史分野</t>
    <rPh sb="20" eb="22">
      <t>ネ</t>
    </rPh>
    <rPh sb="24" eb="27">
      <t>カメヤマシ</t>
    </rPh>
    <rPh sb="27" eb="28">
      <t>シ</t>
    </rPh>
    <rPh sb="29" eb="31">
      <t>レキシ</t>
    </rPh>
    <rPh sb="31" eb="33">
      <t>ブンヤ</t>
    </rPh>
    <phoneticPr fontId="2"/>
  </si>
  <si>
    <t>亀山市井尻町260～268番地（境町地域）を栄町とする</t>
    <rPh sb="0" eb="3">
      <t>カメヤマシ</t>
    </rPh>
    <rPh sb="3" eb="6">
      <t>イジリチョウ</t>
    </rPh>
    <rPh sb="13" eb="15">
      <t>バンチ</t>
    </rPh>
    <rPh sb="16" eb="17">
      <t>サカイ</t>
    </rPh>
    <rPh sb="17" eb="18">
      <t>マチ</t>
    </rPh>
    <rPh sb="18" eb="20">
      <t>チイキ</t>
    </rPh>
    <rPh sb="22" eb="23">
      <t>サカエ</t>
    </rPh>
    <rPh sb="23" eb="24">
      <t>マチ</t>
    </rPh>
    <phoneticPr fontId="2"/>
  </si>
  <si>
    <t>栄町</t>
    <rPh sb="0" eb="2">
      <t>サカエチョウ</t>
    </rPh>
    <phoneticPr fontId="2"/>
  </si>
  <si>
    <t>「古裏地区母と子の会」結成（旧関町で最初の子ども会）</t>
    <rPh sb="1" eb="2">
      <t>フル</t>
    </rPh>
    <rPh sb="2" eb="3">
      <t>ウラ</t>
    </rPh>
    <rPh sb="3" eb="5">
      <t>チク</t>
    </rPh>
    <rPh sb="5" eb="6">
      <t>ハハ</t>
    </rPh>
    <rPh sb="7" eb="8">
      <t>コ</t>
    </rPh>
    <rPh sb="9" eb="10">
      <t>カイ</t>
    </rPh>
    <rPh sb="11" eb="13">
      <t>ケッセイ</t>
    </rPh>
    <rPh sb="14" eb="15">
      <t>キュウ</t>
    </rPh>
    <rPh sb="15" eb="17">
      <t>セキチョウ</t>
    </rPh>
    <rPh sb="18" eb="20">
      <t>サイショ</t>
    </rPh>
    <rPh sb="21" eb="22">
      <t>コ</t>
    </rPh>
    <rPh sb="24" eb="25">
      <t>カイ</t>
    </rPh>
    <phoneticPr fontId="2"/>
  </si>
  <si>
    <t>古裏</t>
    <rPh sb="0" eb="1">
      <t>コ</t>
    </rPh>
    <rPh sb="1" eb="2">
      <t>ウラ</t>
    </rPh>
    <phoneticPr fontId="2"/>
  </si>
  <si>
    <t>坂下村役場が沓掛に新築移転する</t>
    <rPh sb="0" eb="2">
      <t>サカシタ</t>
    </rPh>
    <rPh sb="2" eb="3">
      <t>ムラ</t>
    </rPh>
    <rPh sb="3" eb="5">
      <t>ヤクバ</t>
    </rPh>
    <rPh sb="6" eb="8">
      <t>クツカケ</t>
    </rPh>
    <rPh sb="9" eb="11">
      <t>シンチク</t>
    </rPh>
    <rPh sb="11" eb="13">
      <t>イテン</t>
    </rPh>
    <phoneticPr fontId="2"/>
  </si>
  <si>
    <t>坂下村役場</t>
    <phoneticPr fontId="2"/>
  </si>
  <si>
    <t>昭和30</t>
  </si>
  <si>
    <t>神辺村、白川村が亀山市・関町に合併、関町・加太村・坂下村が合併して関町となる</t>
    <phoneticPr fontId="2"/>
  </si>
  <si>
    <t>神辺・白川・関・加太</t>
    <phoneticPr fontId="2"/>
  </si>
  <si>
    <t>『亀山のあゆみ』P.102・年表
『鈴鹿関町史』下巻年表
『関町五十周年記念誌』
『亀山市史』歴史分野</t>
    <rPh sb="14" eb="16">
      <t>ネ</t>
    </rPh>
    <rPh sb="18" eb="20">
      <t>スズカ</t>
    </rPh>
    <rPh sb="20" eb="21">
      <t>セキ</t>
    </rPh>
    <rPh sb="21" eb="22">
      <t>マチ</t>
    </rPh>
    <rPh sb="22" eb="23">
      <t>シ</t>
    </rPh>
    <rPh sb="24" eb="26">
      <t>ゲカン</t>
    </rPh>
    <rPh sb="26" eb="28">
      <t>ネンピョウ</t>
    </rPh>
    <rPh sb="42" eb="45">
      <t>カメヤマシ</t>
    </rPh>
    <rPh sb="45" eb="46">
      <t>シ</t>
    </rPh>
    <rPh sb="47" eb="49">
      <t>レキシ</t>
    </rPh>
    <rPh sb="49" eb="51">
      <t>ブンヤ</t>
    </rPh>
    <phoneticPr fontId="2"/>
  </si>
  <si>
    <t>井田川に海善寺保育園開園</t>
    <rPh sb="0" eb="3">
      <t>イダガワ</t>
    </rPh>
    <rPh sb="4" eb="5">
      <t>ウミ</t>
    </rPh>
    <rPh sb="5" eb="6">
      <t>ゼン</t>
    </rPh>
    <rPh sb="6" eb="7">
      <t>テラ</t>
    </rPh>
    <rPh sb="7" eb="10">
      <t>ホイクエン</t>
    </rPh>
    <rPh sb="10" eb="12">
      <t>カイエン</t>
    </rPh>
    <phoneticPr fontId="2"/>
  </si>
  <si>
    <t>井田川町</t>
    <rPh sb="3" eb="4">
      <t>チョウ</t>
    </rPh>
    <phoneticPr fontId="2"/>
  </si>
  <si>
    <t>海善寺保育園</t>
    <phoneticPr fontId="2"/>
  </si>
  <si>
    <t>日本の歴史の中の亀山／現代の亀山／教育と医療・福祉／保育園</t>
    <rPh sb="26" eb="29">
      <t>ホイクエン</t>
    </rPh>
    <phoneticPr fontId="2"/>
  </si>
  <si>
    <t>『亀山のあゆみ』P.369・年表</t>
    <rPh sb="14" eb="16">
      <t>ネ</t>
    </rPh>
    <phoneticPr fontId="2"/>
  </si>
  <si>
    <t>三重県亀山高等学校を、三重県立亀山高等学校と校名変更</t>
    <rPh sb="3" eb="5">
      <t>カメヤマ</t>
    </rPh>
    <rPh sb="5" eb="7">
      <t>コウトウ</t>
    </rPh>
    <rPh sb="7" eb="9">
      <t>ガッコウ</t>
    </rPh>
    <rPh sb="11" eb="15">
      <t>ミエケンリツ</t>
    </rPh>
    <rPh sb="15" eb="17">
      <t>カメヤマ</t>
    </rPh>
    <rPh sb="17" eb="19">
      <t>コウトウ</t>
    </rPh>
    <rPh sb="19" eb="21">
      <t>ガッコウ</t>
    </rPh>
    <rPh sb="22" eb="24">
      <t>コウメイ</t>
    </rPh>
    <rPh sb="24" eb="26">
      <t>ヘンコウ</t>
    </rPh>
    <phoneticPr fontId="2"/>
  </si>
  <si>
    <t>三重県立亀山高等学校</t>
    <phoneticPr fontId="2"/>
  </si>
  <si>
    <t>『亀山のあゆみ』P.419・年表</t>
    <rPh sb="14" eb="16">
      <t>ネンピョウ</t>
    </rPh>
    <phoneticPr fontId="2"/>
  </si>
  <si>
    <t>白木公民館竣工</t>
    <rPh sb="2" eb="5">
      <t>コウミンカン</t>
    </rPh>
    <rPh sb="5" eb="7">
      <t>シュンコウ</t>
    </rPh>
    <phoneticPr fontId="2"/>
  </si>
  <si>
    <t>白木公民館</t>
    <phoneticPr fontId="2"/>
  </si>
  <si>
    <t>亀山市連合青年団発足</t>
    <rPh sb="0" eb="3">
      <t>カメヤマシ</t>
    </rPh>
    <rPh sb="3" eb="5">
      <t>レンゴウ</t>
    </rPh>
    <rPh sb="5" eb="8">
      <t>セイネンダン</t>
    </rPh>
    <rPh sb="8" eb="10">
      <t>ホッソク</t>
    </rPh>
    <phoneticPr fontId="2"/>
  </si>
  <si>
    <t>西部中学校を鈴鹿郡関町・亀山市学校組合立西部中学校と改称</t>
    <rPh sb="0" eb="2">
      <t>セイブ</t>
    </rPh>
    <rPh sb="2" eb="5">
      <t>チュウガッコウ</t>
    </rPh>
    <rPh sb="6" eb="9">
      <t>スズカグン</t>
    </rPh>
    <rPh sb="9" eb="11">
      <t>セキチョウ</t>
    </rPh>
    <rPh sb="12" eb="15">
      <t>カメヤマシ</t>
    </rPh>
    <rPh sb="15" eb="17">
      <t>ガッコウ</t>
    </rPh>
    <rPh sb="17" eb="19">
      <t>クミアイ</t>
    </rPh>
    <rPh sb="19" eb="20">
      <t>リツ</t>
    </rPh>
    <rPh sb="20" eb="22">
      <t>セイブ</t>
    </rPh>
    <rPh sb="22" eb="25">
      <t>チュウガッコウ</t>
    </rPh>
    <rPh sb="26" eb="28">
      <t>カイショウ</t>
    </rPh>
    <phoneticPr fontId="2"/>
  </si>
  <si>
    <t>関・白川・神辺</t>
    <rPh sb="0" eb="1">
      <t>セキ</t>
    </rPh>
    <rPh sb="2" eb="4">
      <t>シラカワ</t>
    </rPh>
    <rPh sb="5" eb="6">
      <t>カミ</t>
    </rPh>
    <rPh sb="6" eb="7">
      <t>ヘン</t>
    </rPh>
    <phoneticPr fontId="2"/>
  </si>
  <si>
    <t>関町会下</t>
    <rPh sb="0" eb="1">
      <t>セキ</t>
    </rPh>
    <rPh sb="1" eb="2">
      <t>チョウ</t>
    </rPh>
    <rPh sb="2" eb="4">
      <t>エゲ</t>
    </rPh>
    <phoneticPr fontId="2"/>
  </si>
  <si>
    <t>『亀山のあゆみ』P.387・年表
『鈴鹿関町史』下巻年表
『亀山市史』歴史分野</t>
    <rPh sb="14" eb="16">
      <t>ネンピョウ</t>
    </rPh>
    <rPh sb="18" eb="20">
      <t>スズカ</t>
    </rPh>
    <rPh sb="20" eb="21">
      <t>セキ</t>
    </rPh>
    <rPh sb="21" eb="22">
      <t>マチ</t>
    </rPh>
    <rPh sb="22" eb="23">
      <t>シ</t>
    </rPh>
    <rPh sb="24" eb="26">
      <t>ゲカン</t>
    </rPh>
    <rPh sb="26" eb="28">
      <t>ネンピョウ</t>
    </rPh>
    <rPh sb="30" eb="33">
      <t>カメヤマシ</t>
    </rPh>
    <rPh sb="33" eb="34">
      <t>シ</t>
    </rPh>
    <rPh sb="35" eb="37">
      <t>レキシ</t>
    </rPh>
    <rPh sb="37" eb="39">
      <t>ブンヤ</t>
    </rPh>
    <phoneticPr fontId="2"/>
  </si>
  <si>
    <t>亀山市教育委員会が市内小中学校の農繁期休校を今後原則的に認めないことを決める</t>
    <rPh sb="0" eb="3">
      <t>カメヤマシ</t>
    </rPh>
    <rPh sb="2" eb="3">
      <t>シ</t>
    </rPh>
    <rPh sb="3" eb="5">
      <t>キョウイク</t>
    </rPh>
    <rPh sb="5" eb="8">
      <t>イインカイ</t>
    </rPh>
    <rPh sb="9" eb="11">
      <t>シナイ</t>
    </rPh>
    <rPh sb="11" eb="12">
      <t>ショウ</t>
    </rPh>
    <rPh sb="12" eb="15">
      <t>チュウガッコウ</t>
    </rPh>
    <rPh sb="16" eb="19">
      <t>ノウハンキ</t>
    </rPh>
    <rPh sb="19" eb="20">
      <t>キュウ</t>
    </rPh>
    <rPh sb="20" eb="21">
      <t>コウ</t>
    </rPh>
    <rPh sb="22" eb="24">
      <t>コンゴ</t>
    </rPh>
    <rPh sb="24" eb="27">
      <t>ゲンソクテキ</t>
    </rPh>
    <rPh sb="28" eb="29">
      <t>ミト</t>
    </rPh>
    <rPh sb="35" eb="36">
      <t>キ</t>
    </rPh>
    <phoneticPr fontId="2"/>
  </si>
  <si>
    <t>布気町に亀山市・鈴鹿郡町村組合立養老院「清和荘」落成</t>
    <rPh sb="0" eb="3">
      <t>フケチョウ</t>
    </rPh>
    <rPh sb="4" eb="7">
      <t>カメヤマシ</t>
    </rPh>
    <rPh sb="8" eb="11">
      <t>スズカグン</t>
    </rPh>
    <rPh sb="11" eb="13">
      <t>チョウソン</t>
    </rPh>
    <rPh sb="13" eb="15">
      <t>クミアイ</t>
    </rPh>
    <rPh sb="15" eb="16">
      <t>リツ</t>
    </rPh>
    <rPh sb="16" eb="18">
      <t>ヨウロウ</t>
    </rPh>
    <rPh sb="18" eb="19">
      <t>イン</t>
    </rPh>
    <rPh sb="20" eb="22">
      <t>セイワ</t>
    </rPh>
    <rPh sb="22" eb="23">
      <t>ソウ</t>
    </rPh>
    <rPh sb="24" eb="26">
      <t>ラクセイ</t>
    </rPh>
    <phoneticPr fontId="2"/>
  </si>
  <si>
    <t>布気町</t>
    <phoneticPr fontId="2"/>
  </si>
  <si>
    <t>清和荘</t>
    <phoneticPr fontId="2"/>
  </si>
  <si>
    <t>『亀山のあゆみ』P.376・年表</t>
    <rPh sb="14" eb="16">
      <t>ネンピョウ</t>
    </rPh>
    <phoneticPr fontId="2"/>
  </si>
  <si>
    <t>亀山市農業共済組合発足</t>
    <rPh sb="0" eb="3">
      <t>カメヤマシ</t>
    </rPh>
    <rPh sb="3" eb="5">
      <t>ノウギョウ</t>
    </rPh>
    <rPh sb="5" eb="7">
      <t>キョウサイ</t>
    </rPh>
    <rPh sb="7" eb="9">
      <t>クミアイ</t>
    </rPh>
    <rPh sb="9" eb="11">
      <t>ホッソク</t>
    </rPh>
    <phoneticPr fontId="2"/>
  </si>
  <si>
    <t>出張図書館スタート、各地区公民館に隔月配本貸出（旧亀山市域）</t>
    <rPh sb="0" eb="2">
      <t>シュッチョウ</t>
    </rPh>
    <rPh sb="2" eb="5">
      <t>トショカン</t>
    </rPh>
    <rPh sb="10" eb="13">
      <t>カクチク</t>
    </rPh>
    <rPh sb="13" eb="16">
      <t>コウミンカン</t>
    </rPh>
    <rPh sb="17" eb="18">
      <t>カク</t>
    </rPh>
    <rPh sb="18" eb="19">
      <t>ツキ</t>
    </rPh>
    <rPh sb="19" eb="21">
      <t>ハイホン</t>
    </rPh>
    <rPh sb="21" eb="23">
      <t>カシダシ</t>
    </rPh>
    <rPh sb="24" eb="25">
      <t>キュウ</t>
    </rPh>
    <rPh sb="25" eb="27">
      <t>カメヤマ</t>
    </rPh>
    <rPh sb="27" eb="29">
      <t>シイキ</t>
    </rPh>
    <phoneticPr fontId="2"/>
  </si>
  <si>
    <t>日本の歴史の中の亀山／現代の亀山／教育と医療・福祉／図書館</t>
    <phoneticPr fontId="2"/>
  </si>
  <si>
    <t>国鉄バス白木経由亀山・関間を開設（4月1日運転開始）</t>
    <rPh sb="0" eb="2">
      <t>コクテツ</t>
    </rPh>
    <rPh sb="4" eb="6">
      <t>シラキ</t>
    </rPh>
    <rPh sb="6" eb="8">
      <t>ケイユ</t>
    </rPh>
    <rPh sb="8" eb="10">
      <t>カメヤマ</t>
    </rPh>
    <rPh sb="11" eb="12">
      <t>セキ</t>
    </rPh>
    <rPh sb="12" eb="13">
      <t>アイダ</t>
    </rPh>
    <rPh sb="14" eb="16">
      <t>カイセツ</t>
    </rPh>
    <rPh sb="18" eb="19">
      <t>ガツ</t>
    </rPh>
    <rPh sb="20" eb="21">
      <t>ニチ</t>
    </rPh>
    <rPh sb="21" eb="23">
      <t>ウンテン</t>
    </rPh>
    <rPh sb="23" eb="25">
      <t>カイシ</t>
    </rPh>
    <phoneticPr fontId="2"/>
  </si>
  <si>
    <t>国鉄バス</t>
    <phoneticPr fontId="2"/>
  </si>
  <si>
    <t>白木一色・小野及び会下の児童が、関小学校に転校</t>
    <rPh sb="0" eb="2">
      <t>シラキ</t>
    </rPh>
    <rPh sb="2" eb="4">
      <t>イッシキ</t>
    </rPh>
    <rPh sb="5" eb="7">
      <t>オノ</t>
    </rPh>
    <rPh sb="7" eb="8">
      <t>オヨ</t>
    </rPh>
    <rPh sb="9" eb="11">
      <t>エゲ</t>
    </rPh>
    <rPh sb="12" eb="14">
      <t>ジドウ</t>
    </rPh>
    <rPh sb="16" eb="17">
      <t>セキ</t>
    </rPh>
    <rPh sb="17" eb="20">
      <t>ショウガッコウ</t>
    </rPh>
    <rPh sb="21" eb="23">
      <t>テンコウ</t>
    </rPh>
    <phoneticPr fontId="2"/>
  </si>
  <si>
    <t>学校のあゆみ／関小学校のれきし</t>
    <rPh sb="7" eb="8">
      <t>セキ</t>
    </rPh>
    <phoneticPr fontId="2"/>
  </si>
  <si>
    <t>http://kameyamarekihaku.jp/kodomo/w_e_b/ayumi/page009.html</t>
  </si>
  <si>
    <t>三交バス津・関線開設される</t>
    <rPh sb="0" eb="1">
      <t>サン</t>
    </rPh>
    <rPh sb="1" eb="2">
      <t>コウ</t>
    </rPh>
    <rPh sb="4" eb="5">
      <t>ツ</t>
    </rPh>
    <rPh sb="6" eb="7">
      <t>セキ</t>
    </rPh>
    <rPh sb="7" eb="8">
      <t>セン</t>
    </rPh>
    <rPh sb="8" eb="10">
      <t>カイセツ</t>
    </rPh>
    <phoneticPr fontId="2"/>
  </si>
  <si>
    <t>三交バス</t>
    <phoneticPr fontId="2"/>
  </si>
  <si>
    <t>日本の歴史の中の亀山／現代の亀山／交通と通信／バス</t>
    <phoneticPr fontId="2"/>
  </si>
  <si>
    <t>関町立関保育園を開設</t>
    <rPh sb="0" eb="1">
      <t>セキ</t>
    </rPh>
    <rPh sb="1" eb="3">
      <t>チョウリツ</t>
    </rPh>
    <rPh sb="3" eb="4">
      <t>セキ</t>
    </rPh>
    <rPh sb="4" eb="7">
      <t>ホイクエン</t>
    </rPh>
    <rPh sb="8" eb="10">
      <t>カイセツ</t>
    </rPh>
    <phoneticPr fontId="2"/>
  </si>
  <si>
    <t>関町立関保育園</t>
    <phoneticPr fontId="2"/>
  </si>
  <si>
    <t>新関町婦人会設立</t>
    <rPh sb="0" eb="1">
      <t>シン</t>
    </rPh>
    <rPh sb="1" eb="3">
      <t>セキチョウ</t>
    </rPh>
    <rPh sb="3" eb="6">
      <t>フジンカイ</t>
    </rPh>
    <rPh sb="6" eb="8">
      <t>セツリツ</t>
    </rPh>
    <phoneticPr fontId="2"/>
  </si>
  <si>
    <t>関町公民館設置</t>
    <rPh sb="2" eb="5">
      <t>コウミンカン</t>
    </rPh>
    <rPh sb="5" eb="7">
      <t>セッチ</t>
    </rPh>
    <phoneticPr fontId="2"/>
  </si>
  <si>
    <t>関町公民館</t>
    <phoneticPr fontId="2"/>
  </si>
  <si>
    <t>昭和31</t>
  </si>
  <si>
    <t>ソ連と国交を回復する</t>
  </si>
  <si>
    <t>亀山市・鈴鹿市学校組合立中部中学校を解消し、亀山市立中部中学校となる</t>
    <rPh sb="0" eb="3">
      <t>カメヤマシ</t>
    </rPh>
    <rPh sb="4" eb="7">
      <t>スズカシ</t>
    </rPh>
    <rPh sb="7" eb="9">
      <t>ガッコウ</t>
    </rPh>
    <rPh sb="9" eb="11">
      <t>クミアイ</t>
    </rPh>
    <rPh sb="11" eb="12">
      <t>リツ</t>
    </rPh>
    <rPh sb="12" eb="14">
      <t>チュウブ</t>
    </rPh>
    <rPh sb="14" eb="17">
      <t>チュウガッコウ</t>
    </rPh>
    <rPh sb="18" eb="20">
      <t>カイショウ</t>
    </rPh>
    <rPh sb="22" eb="24">
      <t>カメヤマ</t>
    </rPh>
    <rPh sb="24" eb="26">
      <t>シリツ</t>
    </rPh>
    <rPh sb="26" eb="28">
      <t>チュウブ</t>
    </rPh>
    <rPh sb="28" eb="31">
      <t>チュウガッコウ</t>
    </rPh>
    <phoneticPr fontId="2"/>
  </si>
  <si>
    <t>学校のあゆみ／中部中学校のれきし</t>
    <phoneticPr fontId="2"/>
  </si>
  <si>
    <t>『亀山のあゆみ』P.414・年表</t>
    <rPh sb="14" eb="16">
      <t>ネ</t>
    </rPh>
    <phoneticPr fontId="2"/>
  </si>
  <si>
    <t>井田川町に簡易水道を敷設する</t>
    <rPh sb="0" eb="3">
      <t>イダガワ</t>
    </rPh>
    <rPh sb="3" eb="4">
      <t>マチ</t>
    </rPh>
    <rPh sb="5" eb="7">
      <t>カンイ</t>
    </rPh>
    <rPh sb="7" eb="9">
      <t>スイドウ</t>
    </rPh>
    <rPh sb="10" eb="12">
      <t>フセツ</t>
    </rPh>
    <phoneticPr fontId="2"/>
  </si>
  <si>
    <t>井田川</t>
    <phoneticPr fontId="2"/>
  </si>
  <si>
    <t>井田川町</t>
    <rPh sb="0" eb="4">
      <t>イダガワチョウ</t>
    </rPh>
    <phoneticPr fontId="2"/>
  </si>
  <si>
    <t>簡易水道</t>
    <phoneticPr fontId="2"/>
  </si>
  <si>
    <t>日本の歴史の中の亀山／現代の亀山／行政と政治／水道</t>
    <rPh sb="23" eb="25">
      <t>スイドウ</t>
    </rPh>
    <phoneticPr fontId="2"/>
  </si>
  <si>
    <t>http://kameyamarekihaku.jp/kodomo/w_e_b/rekishi/gendai/gyosei/page003.html</t>
  </si>
  <si>
    <t>亀山高校保育科の実習施設「ふたば園」開園</t>
    <rPh sb="0" eb="2">
      <t>カメヤマ</t>
    </rPh>
    <rPh sb="2" eb="4">
      <t>コウコウ</t>
    </rPh>
    <rPh sb="4" eb="6">
      <t>ホイク</t>
    </rPh>
    <rPh sb="6" eb="7">
      <t>カ</t>
    </rPh>
    <rPh sb="8" eb="10">
      <t>ジッシュウ</t>
    </rPh>
    <rPh sb="10" eb="12">
      <t>シセツ</t>
    </rPh>
    <rPh sb="16" eb="17">
      <t>エン</t>
    </rPh>
    <rPh sb="18" eb="20">
      <t>カイエン</t>
    </rPh>
    <phoneticPr fontId="2"/>
  </si>
  <si>
    <t>亀山高校保育科の実習施設「ふたば園」</t>
    <phoneticPr fontId="2"/>
  </si>
  <si>
    <t>『亀山のあゆみ』P.395・年表</t>
    <rPh sb="14" eb="16">
      <t>ネ</t>
    </rPh>
    <phoneticPr fontId="2"/>
  </si>
  <si>
    <t>三重県主催の関西製茶品評会を亀山小学校で開催
紅茶の部で市内の茶農家が１等入賞</t>
    <rPh sb="0" eb="3">
      <t>ミエケン</t>
    </rPh>
    <rPh sb="3" eb="5">
      <t>シュサイ</t>
    </rPh>
    <rPh sb="6" eb="8">
      <t>カンサイ</t>
    </rPh>
    <rPh sb="8" eb="10">
      <t>セイチャ</t>
    </rPh>
    <rPh sb="10" eb="12">
      <t>ヒンピョウ</t>
    </rPh>
    <rPh sb="12" eb="13">
      <t>カイ</t>
    </rPh>
    <rPh sb="14" eb="16">
      <t>カメヤマ</t>
    </rPh>
    <rPh sb="16" eb="19">
      <t>ショウガッコウ</t>
    </rPh>
    <rPh sb="20" eb="22">
      <t>カイサイ</t>
    </rPh>
    <rPh sb="23" eb="25">
      <t>コウチャ</t>
    </rPh>
    <rPh sb="26" eb="27">
      <t>ブ</t>
    </rPh>
    <rPh sb="28" eb="30">
      <t>シナイ</t>
    </rPh>
    <rPh sb="31" eb="32">
      <t>チャ</t>
    </rPh>
    <rPh sb="32" eb="34">
      <t>ノウカ</t>
    </rPh>
    <rPh sb="36" eb="37">
      <t>トウ</t>
    </rPh>
    <rPh sb="37" eb="38">
      <t>ニュウ</t>
    </rPh>
    <rPh sb="38" eb="39">
      <t>ショウ</t>
    </rPh>
    <phoneticPr fontId="2"/>
  </si>
  <si>
    <t>野登</t>
    <phoneticPr fontId="2"/>
  </si>
  <si>
    <t>関西製茶品評会</t>
    <phoneticPr fontId="2"/>
  </si>
  <si>
    <t>栄町に亀山市営と畜場完成</t>
    <rPh sb="0" eb="2">
      <t>サカエマチ</t>
    </rPh>
    <rPh sb="3" eb="6">
      <t>カメヤマシ</t>
    </rPh>
    <rPh sb="6" eb="7">
      <t>エイ</t>
    </rPh>
    <rPh sb="8" eb="9">
      <t>チク</t>
    </rPh>
    <rPh sb="9" eb="10">
      <t>バ</t>
    </rPh>
    <rPh sb="10" eb="12">
      <t>カンセイ</t>
    </rPh>
    <phoneticPr fontId="2"/>
  </si>
  <si>
    <t>亀山市営と畜場</t>
    <rPh sb="0" eb="3">
      <t>カメヤマシ</t>
    </rPh>
    <rPh sb="3" eb="4">
      <t>エイ</t>
    </rPh>
    <rPh sb="5" eb="6">
      <t>チク</t>
    </rPh>
    <rPh sb="6" eb="7">
      <t>バ</t>
    </rPh>
    <phoneticPr fontId="2"/>
  </si>
  <si>
    <t>日本の歴史の中の亀山／現代の亀山／行政と政治／と畜場</t>
    <rPh sb="24" eb="25">
      <t>チク</t>
    </rPh>
    <rPh sb="25" eb="26">
      <t>ジョウ</t>
    </rPh>
    <phoneticPr fontId="2"/>
  </si>
  <si>
    <t>http://kameyamarekihaku.jp/kodomo/w_e_b/rekishi/gendai/gyosei/page008.html</t>
  </si>
  <si>
    <t>『亀山のあゆみ』P.313・年表</t>
    <rPh sb="14" eb="16">
      <t>ネ</t>
    </rPh>
    <phoneticPr fontId="2"/>
  </si>
  <si>
    <t>３月に任意組合で発足の亀山市酪農組合が正式に設立</t>
    <rPh sb="1" eb="2">
      <t>ガツ</t>
    </rPh>
    <rPh sb="3" eb="5">
      <t>ニンイ</t>
    </rPh>
    <rPh sb="5" eb="7">
      <t>クミアイ</t>
    </rPh>
    <rPh sb="8" eb="10">
      <t>ホッソク</t>
    </rPh>
    <rPh sb="11" eb="14">
      <t>カメヤマシ</t>
    </rPh>
    <rPh sb="14" eb="16">
      <t>ラクノウ</t>
    </rPh>
    <rPh sb="16" eb="18">
      <t>クミアイ</t>
    </rPh>
    <rPh sb="19" eb="21">
      <t>セイシキ</t>
    </rPh>
    <rPh sb="22" eb="24">
      <t>セツリツ</t>
    </rPh>
    <phoneticPr fontId="2"/>
  </si>
  <si>
    <t>亀山市役所川崎支所全焼</t>
    <rPh sb="0" eb="3">
      <t>カメヤマシ</t>
    </rPh>
    <rPh sb="3" eb="5">
      <t>ヤクショ</t>
    </rPh>
    <rPh sb="5" eb="7">
      <t>カワサキ</t>
    </rPh>
    <rPh sb="7" eb="9">
      <t>シショ</t>
    </rPh>
    <rPh sb="9" eb="11">
      <t>ゼンショウ</t>
    </rPh>
    <phoneticPr fontId="2"/>
  </si>
  <si>
    <t>川崎町</t>
    <rPh sb="0" eb="3">
      <t>カワサキチョウ</t>
    </rPh>
    <phoneticPr fontId="2"/>
  </si>
  <si>
    <t>亀山市役所川崎支所</t>
    <phoneticPr fontId="2"/>
  </si>
  <si>
    <t>亀山音頭、亀山小唄を選定</t>
    <rPh sb="0" eb="2">
      <t>カメヤマ</t>
    </rPh>
    <rPh sb="2" eb="4">
      <t>オンド</t>
    </rPh>
    <rPh sb="5" eb="7">
      <t>カメヤマ</t>
    </rPh>
    <rPh sb="7" eb="9">
      <t>コウタ</t>
    </rPh>
    <rPh sb="10" eb="12">
      <t>センテイ</t>
    </rPh>
    <phoneticPr fontId="2"/>
  </si>
  <si>
    <t>『亀山のあゆみ』年表
『亀山市史』歴史分野
『亀山市史』通史　近代現代</t>
    <rPh sb="8" eb="10">
      <t>ネ</t>
    </rPh>
    <rPh sb="12" eb="15">
      <t>カメヤマシ</t>
    </rPh>
    <rPh sb="15" eb="16">
      <t>シ</t>
    </rPh>
    <rPh sb="17" eb="19">
      <t>レキシ</t>
    </rPh>
    <rPh sb="19" eb="21">
      <t>ブンヤ</t>
    </rPh>
    <rPh sb="22" eb="35">
      <t>ツ</t>
    </rPh>
    <phoneticPr fontId="2"/>
  </si>
  <si>
    <t>国際連合に加盟する</t>
  </si>
  <si>
    <t>昭和31</t>
    <rPh sb="0" eb="2">
      <t>ショウワ</t>
    </rPh>
    <phoneticPr fontId="2"/>
  </si>
  <si>
    <t>野登山ブナ林が県天然記念物に指定される</t>
    <rPh sb="0" eb="1">
      <t>ノ</t>
    </rPh>
    <rPh sb="1" eb="2">
      <t>ノボ</t>
    </rPh>
    <rPh sb="2" eb="3">
      <t>ヤマ</t>
    </rPh>
    <rPh sb="5" eb="6">
      <t>ハヤシ</t>
    </rPh>
    <rPh sb="7" eb="8">
      <t>ケン</t>
    </rPh>
    <rPh sb="8" eb="10">
      <t>テンネン</t>
    </rPh>
    <rPh sb="10" eb="13">
      <t>キネンブツ</t>
    </rPh>
    <rPh sb="14" eb="16">
      <t>シテイ</t>
    </rPh>
    <phoneticPr fontId="2"/>
  </si>
  <si>
    <t>野登</t>
    <rPh sb="0" eb="1">
      <t>ノ</t>
    </rPh>
    <rPh sb="1" eb="2">
      <t>ノボ</t>
    </rPh>
    <phoneticPr fontId="2"/>
  </si>
  <si>
    <t>安坂山町</t>
    <rPh sb="0" eb="1">
      <t>アン</t>
    </rPh>
    <rPh sb="1" eb="2">
      <t>サカ</t>
    </rPh>
    <rPh sb="2" eb="3">
      <t>ヤマ</t>
    </rPh>
    <rPh sb="3" eb="4">
      <t>マチ</t>
    </rPh>
    <phoneticPr fontId="2"/>
  </si>
  <si>
    <t>野登山</t>
    <rPh sb="0" eb="1">
      <t>ノ</t>
    </rPh>
    <rPh sb="1" eb="2">
      <t>ノボ</t>
    </rPh>
    <rPh sb="2" eb="3">
      <t>ヤマ</t>
    </rPh>
    <phoneticPr fontId="2"/>
  </si>
  <si>
    <t>野登山ブナ林</t>
    <rPh sb="0" eb="1">
      <t>ノ</t>
    </rPh>
    <rPh sb="1" eb="2">
      <t>ノボ</t>
    </rPh>
    <rPh sb="2" eb="3">
      <t>ヤマ</t>
    </rPh>
    <rPh sb="5" eb="6">
      <t>ハヤシ</t>
    </rPh>
    <phoneticPr fontId="2"/>
  </si>
  <si>
    <t>亀山のいいとこさがし／景色のよいところや歴史を知る手掛かりとなるもの／山／名勝</t>
    <phoneticPr fontId="2"/>
  </si>
  <si>
    <t>『亀山のあゆみ』P.85・P.449・年表</t>
    <rPh sb="19" eb="21">
      <t>ネ</t>
    </rPh>
    <phoneticPr fontId="2"/>
  </si>
  <si>
    <t>国指定重要文化財地蔵院愛染堂の解体修理に着手する</t>
    <rPh sb="0" eb="1">
      <t>クニ</t>
    </rPh>
    <rPh sb="1" eb="3">
      <t>シテイ</t>
    </rPh>
    <rPh sb="3" eb="5">
      <t>ジュウヨウ</t>
    </rPh>
    <rPh sb="5" eb="8">
      <t>ブンカザイ</t>
    </rPh>
    <rPh sb="8" eb="10">
      <t>ジゾウ</t>
    </rPh>
    <rPh sb="10" eb="11">
      <t>イン</t>
    </rPh>
    <rPh sb="11" eb="13">
      <t>アイゼン</t>
    </rPh>
    <rPh sb="13" eb="14">
      <t>ドウ</t>
    </rPh>
    <rPh sb="15" eb="17">
      <t>カイタイ</t>
    </rPh>
    <rPh sb="17" eb="19">
      <t>シュウリ</t>
    </rPh>
    <rPh sb="20" eb="22">
      <t>チャクシュ</t>
    </rPh>
    <phoneticPr fontId="2"/>
  </si>
  <si>
    <t>関町新所</t>
    <rPh sb="0" eb="1">
      <t>セキ</t>
    </rPh>
    <rPh sb="1" eb="2">
      <t>チョウ</t>
    </rPh>
    <rPh sb="2" eb="4">
      <t>シンショ</t>
    </rPh>
    <phoneticPr fontId="2"/>
  </si>
  <si>
    <t>『鈴鹿関町史』下巻年表
『地蔵院護摩堂修理工事報告書』</t>
    <rPh sb="1" eb="3">
      <t>スズカ</t>
    </rPh>
    <rPh sb="3" eb="4">
      <t>セキ</t>
    </rPh>
    <rPh sb="4" eb="6">
      <t>チョウシ</t>
    </rPh>
    <rPh sb="7" eb="9">
      <t>ゲカン</t>
    </rPh>
    <rPh sb="9" eb="10">
      <t>ネン</t>
    </rPh>
    <rPh sb="10" eb="11">
      <t>ヒョウ</t>
    </rPh>
    <rPh sb="13" eb="16">
      <t>ジゾウイン</t>
    </rPh>
    <rPh sb="16" eb="18">
      <t>ゴマ</t>
    </rPh>
    <rPh sb="18" eb="19">
      <t>ドウ</t>
    </rPh>
    <rPh sb="19" eb="21">
      <t>シュウリ</t>
    </rPh>
    <rPh sb="21" eb="23">
      <t>コウジ</t>
    </rPh>
    <rPh sb="23" eb="26">
      <t>ホウコクショ</t>
    </rPh>
    <phoneticPr fontId="2"/>
  </si>
  <si>
    <t>加太小学校越川分校校舎落成</t>
    <rPh sb="0" eb="2">
      <t>カブト</t>
    </rPh>
    <rPh sb="2" eb="3">
      <t>ショウ</t>
    </rPh>
    <rPh sb="3" eb="5">
      <t>ガッコウ</t>
    </rPh>
    <rPh sb="5" eb="7">
      <t>エチガワ</t>
    </rPh>
    <rPh sb="7" eb="9">
      <t>ブンコウ</t>
    </rPh>
    <rPh sb="9" eb="11">
      <t>コウシャ</t>
    </rPh>
    <rPh sb="11" eb="13">
      <t>ラクセイ</t>
    </rPh>
    <phoneticPr fontId="2"/>
  </si>
  <si>
    <t>関町越川</t>
    <rPh sb="0" eb="1">
      <t>セキ</t>
    </rPh>
    <rPh sb="1" eb="2">
      <t>チョウ</t>
    </rPh>
    <rPh sb="2" eb="4">
      <t>コシカワ</t>
    </rPh>
    <phoneticPr fontId="2"/>
  </si>
  <si>
    <t>加太小学校越川分校</t>
    <phoneticPr fontId="2"/>
  </si>
  <si>
    <t>学校のあゆみ／加太小学校のれきし</t>
    <rPh sb="0" eb="2">
      <t>ガッコウ</t>
    </rPh>
    <rPh sb="7" eb="12">
      <t>カブトショウガッコウ</t>
    </rPh>
    <phoneticPr fontId="2"/>
  </si>
  <si>
    <t>加太一ッ家が柘植町に編入する</t>
    <rPh sb="0" eb="2">
      <t>カブト</t>
    </rPh>
    <rPh sb="2" eb="3">
      <t>イチ</t>
    </rPh>
    <rPh sb="4" eb="5">
      <t>イエ</t>
    </rPh>
    <rPh sb="6" eb="8">
      <t>ツゲ</t>
    </rPh>
    <rPh sb="8" eb="9">
      <t>マチ</t>
    </rPh>
    <rPh sb="10" eb="12">
      <t>ヘンニュウ</t>
    </rPh>
    <phoneticPr fontId="2"/>
  </si>
  <si>
    <t>台風15号が通過
関西本線関・加太間において暴風雨による落石のため列車の一部が鈴鹿川に転落し、死者7名を出す</t>
    <rPh sb="0" eb="2">
      <t>タイフウ</t>
    </rPh>
    <rPh sb="4" eb="5">
      <t>ゴウ</t>
    </rPh>
    <rPh sb="6" eb="8">
      <t>ツウカ</t>
    </rPh>
    <rPh sb="9" eb="11">
      <t>カンサイ</t>
    </rPh>
    <rPh sb="11" eb="13">
      <t>ホンセン</t>
    </rPh>
    <rPh sb="13" eb="14">
      <t>セキ</t>
    </rPh>
    <rPh sb="15" eb="17">
      <t>カブト</t>
    </rPh>
    <rPh sb="17" eb="18">
      <t>アイダ</t>
    </rPh>
    <rPh sb="22" eb="25">
      <t>ボウフウウ</t>
    </rPh>
    <rPh sb="28" eb="30">
      <t>ラクセキ</t>
    </rPh>
    <rPh sb="33" eb="35">
      <t>レッシャ</t>
    </rPh>
    <rPh sb="36" eb="38">
      <t>イチブ</t>
    </rPh>
    <rPh sb="39" eb="41">
      <t>スズカ</t>
    </rPh>
    <rPh sb="41" eb="42">
      <t>ガワ</t>
    </rPh>
    <rPh sb="43" eb="45">
      <t>テンラク</t>
    </rPh>
    <rPh sb="47" eb="49">
      <t>シシャ</t>
    </rPh>
    <rPh sb="50" eb="51">
      <t>メイ</t>
    </rPh>
    <rPh sb="52" eb="53">
      <t>ダ</t>
    </rPh>
    <phoneticPr fontId="2"/>
  </si>
  <si>
    <t>関・加太</t>
    <phoneticPr fontId="2"/>
  </si>
  <si>
    <t>関町金場</t>
    <rPh sb="0" eb="1">
      <t>セキ</t>
    </rPh>
    <rPh sb="1" eb="2">
      <t>チョウ</t>
    </rPh>
    <rPh sb="2" eb="3">
      <t>カネ</t>
    </rPh>
    <rPh sb="3" eb="4">
      <t>バ</t>
    </rPh>
    <phoneticPr fontId="2"/>
  </si>
  <si>
    <t>関西本線</t>
    <phoneticPr fontId="2"/>
  </si>
  <si>
    <t>関郵便局受持集配区の内、亀山市に属する地域（旧神辺村・旧白川村）を亀山郵便局に移管する</t>
    <rPh sb="0" eb="1">
      <t>セキ</t>
    </rPh>
    <rPh sb="1" eb="4">
      <t>ユウビンキョク</t>
    </rPh>
    <rPh sb="4" eb="6">
      <t>ウケモ</t>
    </rPh>
    <rPh sb="6" eb="8">
      <t>シュウハイ</t>
    </rPh>
    <rPh sb="8" eb="9">
      <t>ク</t>
    </rPh>
    <rPh sb="10" eb="11">
      <t>ウチ</t>
    </rPh>
    <rPh sb="12" eb="15">
      <t>カメヤマシ</t>
    </rPh>
    <rPh sb="16" eb="17">
      <t>ゾク</t>
    </rPh>
    <rPh sb="19" eb="21">
      <t>チイキ</t>
    </rPh>
    <rPh sb="22" eb="23">
      <t>キュウ</t>
    </rPh>
    <rPh sb="23" eb="25">
      <t>カンベ</t>
    </rPh>
    <rPh sb="25" eb="26">
      <t>ムラ</t>
    </rPh>
    <rPh sb="27" eb="28">
      <t>キュウ</t>
    </rPh>
    <rPh sb="28" eb="30">
      <t>シラカワ</t>
    </rPh>
    <rPh sb="30" eb="31">
      <t>ムラ</t>
    </rPh>
    <rPh sb="33" eb="35">
      <t>カメヤマ</t>
    </rPh>
    <rPh sb="35" eb="38">
      <t>ユウビンキョク</t>
    </rPh>
    <rPh sb="39" eb="41">
      <t>イカン</t>
    </rPh>
    <phoneticPr fontId="2"/>
  </si>
  <si>
    <t>関・神辺・白川</t>
    <rPh sb="2" eb="4">
      <t>カンベ</t>
    </rPh>
    <rPh sb="5" eb="7">
      <t>シラカワ</t>
    </rPh>
    <phoneticPr fontId="2"/>
  </si>
  <si>
    <t>『鈴鹿関町史』下巻年表
『亀山のあゆみ』年表</t>
    <rPh sb="1" eb="3">
      <t>スズカ</t>
    </rPh>
    <rPh sb="3" eb="4">
      <t>セキ</t>
    </rPh>
    <rPh sb="4" eb="6">
      <t>チョウシ</t>
    </rPh>
    <rPh sb="7" eb="9">
      <t>ゲカン</t>
    </rPh>
    <rPh sb="9" eb="10">
      <t>ネン</t>
    </rPh>
    <rPh sb="10" eb="11">
      <t>ヒョウ</t>
    </rPh>
    <rPh sb="13" eb="15">
      <t>カメヤマ</t>
    </rPh>
    <rPh sb="20" eb="22">
      <t>ネ</t>
    </rPh>
    <phoneticPr fontId="2"/>
  </si>
  <si>
    <t>新制度による関町教育委員会が発足</t>
    <rPh sb="0" eb="1">
      <t>シン</t>
    </rPh>
    <rPh sb="1" eb="3">
      <t>セイド</t>
    </rPh>
    <rPh sb="6" eb="8">
      <t>セキチョウ</t>
    </rPh>
    <rPh sb="8" eb="10">
      <t>キョウイク</t>
    </rPh>
    <rPh sb="10" eb="13">
      <t>イインカイ</t>
    </rPh>
    <rPh sb="14" eb="16">
      <t>ホッソク</t>
    </rPh>
    <phoneticPr fontId="2"/>
  </si>
  <si>
    <t>産業が復興して工業がさかんになる</t>
  </si>
  <si>
    <t>昭和32</t>
    <rPh sb="0" eb="2">
      <t>ショウワ</t>
    </rPh>
    <phoneticPr fontId="2"/>
  </si>
  <si>
    <t>国鉄バス亀山～住山線開通</t>
    <rPh sb="0" eb="2">
      <t>コクテツ</t>
    </rPh>
    <rPh sb="4" eb="6">
      <t>カメヤマ</t>
    </rPh>
    <rPh sb="7" eb="8">
      <t>ス</t>
    </rPh>
    <rPh sb="8" eb="9">
      <t>ヤマ</t>
    </rPh>
    <rPh sb="9" eb="10">
      <t>セン</t>
    </rPh>
    <rPh sb="10" eb="12">
      <t>カイツウ</t>
    </rPh>
    <phoneticPr fontId="2"/>
  </si>
  <si>
    <t>国鉄バス</t>
    <phoneticPr fontId="2"/>
  </si>
  <si>
    <t>全国初の紅茶パーティーを亀山小学校講堂で開く（参考：当時、亀田町に森永紅茶試作所があった）</t>
    <rPh sb="0" eb="3">
      <t>ゼンコクハツ</t>
    </rPh>
    <rPh sb="4" eb="6">
      <t>コウチャ</t>
    </rPh>
    <rPh sb="12" eb="14">
      <t>カメヤマ</t>
    </rPh>
    <rPh sb="14" eb="17">
      <t>ショウガッコウ</t>
    </rPh>
    <rPh sb="17" eb="19">
      <t>コウドウ</t>
    </rPh>
    <rPh sb="20" eb="21">
      <t>ヒラ</t>
    </rPh>
    <rPh sb="23" eb="25">
      <t>サンコウ</t>
    </rPh>
    <rPh sb="26" eb="28">
      <t>トウジ</t>
    </rPh>
    <rPh sb="29" eb="31">
      <t>カメダ</t>
    </rPh>
    <rPh sb="31" eb="32">
      <t>マチ</t>
    </rPh>
    <rPh sb="33" eb="35">
      <t>モリナガ</t>
    </rPh>
    <rPh sb="35" eb="37">
      <t>コウチャ</t>
    </rPh>
    <rPh sb="37" eb="39">
      <t>シサク</t>
    </rPh>
    <rPh sb="39" eb="40">
      <t>ショ</t>
    </rPh>
    <phoneticPr fontId="2"/>
  </si>
  <si>
    <t>紅茶パーティー</t>
    <phoneticPr fontId="2"/>
  </si>
  <si>
    <t>亀山市時報</t>
    <rPh sb="0" eb="2">
      <t>カメヤマ</t>
    </rPh>
    <rPh sb="2" eb="3">
      <t>シ</t>
    </rPh>
    <rPh sb="3" eb="5">
      <t>ジホウ</t>
    </rPh>
    <phoneticPr fontId="2"/>
  </si>
  <si>
    <t>川崎町に川崎愛児園、井田川町に海善寺保育園開園</t>
    <rPh sb="0" eb="2">
      <t>カワサキ</t>
    </rPh>
    <rPh sb="2" eb="3">
      <t>マチ</t>
    </rPh>
    <rPh sb="4" eb="6">
      <t>カワサキ</t>
    </rPh>
    <rPh sb="6" eb="7">
      <t>アイ</t>
    </rPh>
    <rPh sb="7" eb="8">
      <t>ジ</t>
    </rPh>
    <rPh sb="8" eb="9">
      <t>エン</t>
    </rPh>
    <rPh sb="10" eb="14">
      <t>イダガワチョウ</t>
    </rPh>
    <rPh sb="15" eb="16">
      <t>ウミ</t>
    </rPh>
    <rPh sb="16" eb="17">
      <t>ゼン</t>
    </rPh>
    <rPh sb="17" eb="18">
      <t>テラ</t>
    </rPh>
    <rPh sb="18" eb="21">
      <t>ホイクエン</t>
    </rPh>
    <rPh sb="21" eb="23">
      <t>カイエン</t>
    </rPh>
    <phoneticPr fontId="2"/>
  </si>
  <si>
    <t>川崎・井田川</t>
    <rPh sb="3" eb="6">
      <t>イダガワ</t>
    </rPh>
    <phoneticPr fontId="2"/>
  </si>
  <si>
    <t>川崎町・井田川町</t>
    <rPh sb="0" eb="3">
      <t>カワサキチョウ</t>
    </rPh>
    <rPh sb="4" eb="8">
      <t>イダガワチョウ</t>
    </rPh>
    <phoneticPr fontId="2"/>
  </si>
  <si>
    <t>川崎愛児園・海善寺保育園</t>
    <phoneticPr fontId="2"/>
  </si>
  <si>
    <t>『亀山のあゆみ』P.368・P.369・年表</t>
    <rPh sb="20" eb="22">
      <t>ネ</t>
    </rPh>
    <phoneticPr fontId="2"/>
  </si>
  <si>
    <t>市内国道１号の舗装が始まる</t>
    <rPh sb="2" eb="4">
      <t>コクドウ</t>
    </rPh>
    <rPh sb="5" eb="6">
      <t>ゴウ</t>
    </rPh>
    <rPh sb="7" eb="9">
      <t>ホソウ</t>
    </rPh>
    <rPh sb="10" eb="11">
      <t>ハジ</t>
    </rPh>
    <phoneticPr fontId="2"/>
  </si>
  <si>
    <t>小川町で新生活運動、時間厳守、冠婚葬祭などで申し合わせ</t>
    <rPh sb="0" eb="3">
      <t>オガワチョウ</t>
    </rPh>
    <rPh sb="4" eb="7">
      <t>シンセイカツ</t>
    </rPh>
    <rPh sb="7" eb="9">
      <t>ウンドウ</t>
    </rPh>
    <rPh sb="10" eb="12">
      <t>ジカン</t>
    </rPh>
    <rPh sb="12" eb="14">
      <t>ゲンシュ</t>
    </rPh>
    <rPh sb="15" eb="17">
      <t>カンコン</t>
    </rPh>
    <rPh sb="17" eb="19">
      <t>ソウサイ</t>
    </rPh>
    <rPh sb="22" eb="23">
      <t>モウ</t>
    </rPh>
    <rPh sb="24" eb="25">
      <t>ア</t>
    </rPh>
    <phoneticPr fontId="2"/>
  </si>
  <si>
    <t>小川町</t>
    <rPh sb="0" eb="3">
      <t>オガワチョウ</t>
    </rPh>
    <phoneticPr fontId="2"/>
  </si>
  <si>
    <t>亀山音頭、亀山小唄誕生</t>
    <rPh sb="0" eb="2">
      <t>カメヤマ</t>
    </rPh>
    <rPh sb="2" eb="4">
      <t>オンド</t>
    </rPh>
    <rPh sb="5" eb="7">
      <t>カメヤマ</t>
    </rPh>
    <rPh sb="7" eb="9">
      <t>コウタ</t>
    </rPh>
    <rPh sb="9" eb="11">
      <t>タンジョウ</t>
    </rPh>
    <phoneticPr fontId="2"/>
  </si>
  <si>
    <t>『亀山のあゆみ』年表
『亀山市史』歴史分野
『亀山市史』通史　近代現代</t>
    <rPh sb="8" eb="10">
      <t>ネ</t>
    </rPh>
    <rPh sb="12" eb="15">
      <t>カメヤマシ</t>
    </rPh>
    <rPh sb="15" eb="16">
      <t>シ</t>
    </rPh>
    <rPh sb="17" eb="19">
      <t>レキシ</t>
    </rPh>
    <rPh sb="19" eb="21">
      <t>ブンヤ</t>
    </rPh>
    <rPh sb="22" eb="35">
      <t>ゲ</t>
    </rPh>
    <phoneticPr fontId="2"/>
  </si>
  <si>
    <t>関町営火葬場落成</t>
    <rPh sb="0" eb="2">
      <t>セキチョウ</t>
    </rPh>
    <rPh sb="2" eb="3">
      <t>エイ</t>
    </rPh>
    <rPh sb="3" eb="6">
      <t>カソウバ</t>
    </rPh>
    <rPh sb="6" eb="8">
      <t>ラクセイ</t>
    </rPh>
    <phoneticPr fontId="2"/>
  </si>
  <si>
    <t>関町営火葬場</t>
  </si>
  <si>
    <t>関町営塵芥焼却場落成</t>
    <rPh sb="0" eb="2">
      <t>セキチョウ</t>
    </rPh>
    <rPh sb="2" eb="3">
      <t>エイ</t>
    </rPh>
    <rPh sb="3" eb="5">
      <t>ジンカイ</t>
    </rPh>
    <rPh sb="5" eb="7">
      <t>ショウキャク</t>
    </rPh>
    <rPh sb="7" eb="8">
      <t>バ</t>
    </rPh>
    <rPh sb="8" eb="10">
      <t>ラクセイ</t>
    </rPh>
    <phoneticPr fontId="2"/>
  </si>
  <si>
    <t>関町営塵芥焼却場</t>
    <phoneticPr fontId="2"/>
  </si>
  <si>
    <t>芸濃町立明小学校福徳分教場が事実上廃止となる</t>
    <rPh sb="0" eb="2">
      <t>ゲイノウ</t>
    </rPh>
    <rPh sb="2" eb="3">
      <t>チョウ</t>
    </rPh>
    <rPh sb="3" eb="4">
      <t>リツ</t>
    </rPh>
    <rPh sb="4" eb="5">
      <t>アキラ</t>
    </rPh>
    <rPh sb="5" eb="8">
      <t>ショウガッコウ</t>
    </rPh>
    <rPh sb="8" eb="10">
      <t>フクトク</t>
    </rPh>
    <rPh sb="10" eb="11">
      <t>フン</t>
    </rPh>
    <rPh sb="11" eb="12">
      <t>キョウ</t>
    </rPh>
    <rPh sb="12" eb="13">
      <t>バ</t>
    </rPh>
    <rPh sb="14" eb="17">
      <t>ジジツジョウ</t>
    </rPh>
    <rPh sb="17" eb="19">
      <t>ハイシ</t>
    </rPh>
    <phoneticPr fontId="2"/>
  </si>
  <si>
    <t>関町福徳</t>
    <rPh sb="0" eb="1">
      <t>セキ</t>
    </rPh>
    <rPh sb="1" eb="2">
      <t>チョウ</t>
    </rPh>
    <rPh sb="2" eb="4">
      <t>フクトク</t>
    </rPh>
    <phoneticPr fontId="2"/>
  </si>
  <si>
    <t>芸濃町立明小学校福徳分教場</t>
    <phoneticPr fontId="2"/>
  </si>
  <si>
    <t>萩原・福徳地区の児童生徒無籍のまま関小、西部中に就学</t>
    <rPh sb="0" eb="2">
      <t>ハギワラ</t>
    </rPh>
    <rPh sb="3" eb="5">
      <t>フクトク</t>
    </rPh>
    <rPh sb="5" eb="7">
      <t>チク</t>
    </rPh>
    <rPh sb="8" eb="10">
      <t>ジドウ</t>
    </rPh>
    <rPh sb="10" eb="12">
      <t>セイト</t>
    </rPh>
    <rPh sb="12" eb="14">
      <t>ムセキ</t>
    </rPh>
    <rPh sb="17" eb="18">
      <t>セキ</t>
    </rPh>
    <rPh sb="18" eb="19">
      <t>ショウ</t>
    </rPh>
    <rPh sb="20" eb="21">
      <t>ニシ</t>
    </rPh>
    <rPh sb="21" eb="22">
      <t>ブ</t>
    </rPh>
    <rPh sb="22" eb="23">
      <t>チュウ</t>
    </rPh>
    <rPh sb="24" eb="26">
      <t>シュウガク</t>
    </rPh>
    <phoneticPr fontId="2"/>
  </si>
  <si>
    <t>関町萩原・関町福徳</t>
    <rPh sb="0" eb="1">
      <t>セキ</t>
    </rPh>
    <rPh sb="1" eb="2">
      <t>チョウ</t>
    </rPh>
    <rPh sb="2" eb="4">
      <t>ハギワラ</t>
    </rPh>
    <rPh sb="5" eb="6">
      <t>セキ</t>
    </rPh>
    <rPh sb="6" eb="7">
      <t>チョウ</t>
    </rPh>
    <rPh sb="7" eb="9">
      <t>フクトク</t>
    </rPh>
    <phoneticPr fontId="2"/>
  </si>
  <si>
    <t>地蔵院愛染堂解体修理完了</t>
    <rPh sb="0" eb="3">
      <t>ジゾウイン</t>
    </rPh>
    <rPh sb="3" eb="5">
      <t>アイゼン</t>
    </rPh>
    <rPh sb="5" eb="6">
      <t>ドウ</t>
    </rPh>
    <rPh sb="6" eb="8">
      <t>カイタイ</t>
    </rPh>
    <rPh sb="8" eb="10">
      <t>シュウリ</t>
    </rPh>
    <rPh sb="10" eb="12">
      <t>カンリョウ</t>
    </rPh>
    <phoneticPr fontId="2"/>
  </si>
  <si>
    <t>地蔵院愛染堂</t>
    <phoneticPr fontId="2"/>
  </si>
  <si>
    <t>国鉄・三交バス加太線乗入する（関・加太間）、8月25日には加太～北在家が営業</t>
    <rPh sb="0" eb="2">
      <t>コクテツ</t>
    </rPh>
    <rPh sb="3" eb="4">
      <t>サン</t>
    </rPh>
    <rPh sb="4" eb="5">
      <t>コウ</t>
    </rPh>
    <rPh sb="7" eb="9">
      <t>カブト</t>
    </rPh>
    <rPh sb="9" eb="10">
      <t>セン</t>
    </rPh>
    <rPh sb="10" eb="11">
      <t>ノ</t>
    </rPh>
    <rPh sb="11" eb="12">
      <t>イ</t>
    </rPh>
    <rPh sb="15" eb="16">
      <t>セキ</t>
    </rPh>
    <rPh sb="17" eb="19">
      <t>カブト</t>
    </rPh>
    <rPh sb="19" eb="20">
      <t>アイダ</t>
    </rPh>
    <rPh sb="23" eb="24">
      <t>ガツ</t>
    </rPh>
    <rPh sb="26" eb="27">
      <t>ニチ</t>
    </rPh>
    <rPh sb="29" eb="31">
      <t>カブト</t>
    </rPh>
    <rPh sb="32" eb="33">
      <t>キタ</t>
    </rPh>
    <rPh sb="33" eb="35">
      <t>ザイケ</t>
    </rPh>
    <rPh sb="36" eb="38">
      <t>エイギョウ</t>
    </rPh>
    <phoneticPr fontId="2"/>
  </si>
  <si>
    <t>関・加太</t>
    <rPh sb="0" eb="1">
      <t>セキ</t>
    </rPh>
    <rPh sb="2" eb="4">
      <t>カブト</t>
    </rPh>
    <phoneticPr fontId="2"/>
  </si>
  <si>
    <t>国鉄・三交バス</t>
    <phoneticPr fontId="2"/>
  </si>
  <si>
    <t>鈴鹿地方事業所が廃止される</t>
    <rPh sb="0" eb="2">
      <t>スズカ</t>
    </rPh>
    <rPh sb="2" eb="4">
      <t>チホウ</t>
    </rPh>
    <rPh sb="4" eb="7">
      <t>ジギョウショ</t>
    </rPh>
    <rPh sb="8" eb="10">
      <t>ハイシ</t>
    </rPh>
    <phoneticPr fontId="2"/>
  </si>
  <si>
    <t>鈴鹿地方事業所</t>
    <phoneticPr fontId="2"/>
  </si>
  <si>
    <t>亀山高等学校郷土研究会が鈴鹿峠祭祀遺跡についての研究成果を発表する</t>
    <rPh sb="0" eb="2">
      <t>カメヤマ</t>
    </rPh>
    <rPh sb="2" eb="4">
      <t>コウトウ</t>
    </rPh>
    <rPh sb="4" eb="6">
      <t>ガッコウ</t>
    </rPh>
    <rPh sb="6" eb="8">
      <t>キョウド</t>
    </rPh>
    <rPh sb="8" eb="11">
      <t>ケンキュウカイ</t>
    </rPh>
    <rPh sb="12" eb="14">
      <t>スズカ</t>
    </rPh>
    <rPh sb="14" eb="15">
      <t>トウゲ</t>
    </rPh>
    <rPh sb="15" eb="17">
      <t>サイシ</t>
    </rPh>
    <rPh sb="17" eb="19">
      <t>イセキ</t>
    </rPh>
    <rPh sb="24" eb="26">
      <t>ケンキュウ</t>
    </rPh>
    <rPh sb="26" eb="28">
      <t>セイカ</t>
    </rPh>
    <rPh sb="29" eb="31">
      <t>ハッピョウ</t>
    </rPh>
    <phoneticPr fontId="2"/>
  </si>
  <si>
    <t>昭和33</t>
  </si>
  <si>
    <t>明村楠平尾が亀山市に、萩原・福徳が関町に合併</t>
  </si>
  <si>
    <t>亀山南・関</t>
    <rPh sb="0" eb="2">
      <t>カメヤマ</t>
    </rPh>
    <rPh sb="2" eb="3">
      <t>ミナミ</t>
    </rPh>
    <rPh sb="4" eb="5">
      <t>セキ</t>
    </rPh>
    <phoneticPr fontId="2"/>
  </si>
  <si>
    <t>楠平尾町・関町萩原・関町福徳</t>
    <phoneticPr fontId="2"/>
  </si>
  <si>
    <t>『亀山のあゆみ』P.106・年表
『鈴鹿関町史』下巻年表
『関町五十周年記念誌』
『亀山市史』歴史分野</t>
    <rPh sb="14" eb="16">
      <t>ネ</t>
    </rPh>
    <rPh sb="18" eb="20">
      <t>スズカ</t>
    </rPh>
    <rPh sb="20" eb="21">
      <t>セキ</t>
    </rPh>
    <rPh sb="21" eb="23">
      <t>チョウシ</t>
    </rPh>
    <rPh sb="24" eb="26">
      <t>ゲカン</t>
    </rPh>
    <rPh sb="26" eb="28">
      <t>ネンピョウ</t>
    </rPh>
    <rPh sb="42" eb="45">
      <t>カメヤマシ</t>
    </rPh>
    <rPh sb="45" eb="46">
      <t>シ</t>
    </rPh>
    <rPh sb="47" eb="49">
      <t>レキシ</t>
    </rPh>
    <rPh sb="49" eb="51">
      <t>ブンヤ</t>
    </rPh>
    <phoneticPr fontId="2"/>
  </si>
  <si>
    <t>亀山駅～小川間のバス運行開始</t>
    <rPh sb="0" eb="3">
      <t>カメヤマエキ</t>
    </rPh>
    <rPh sb="4" eb="6">
      <t>オガワ</t>
    </rPh>
    <rPh sb="6" eb="7">
      <t>アイダ</t>
    </rPh>
    <rPh sb="10" eb="12">
      <t>ウンコウ</t>
    </rPh>
    <rPh sb="12" eb="14">
      <t>カイシ</t>
    </rPh>
    <phoneticPr fontId="2"/>
  </si>
  <si>
    <t>井田川地区簡易水道完成</t>
    <rPh sb="0" eb="3">
      <t>イダガワ</t>
    </rPh>
    <rPh sb="3" eb="5">
      <t>チク</t>
    </rPh>
    <rPh sb="5" eb="7">
      <t>カンイ</t>
    </rPh>
    <rPh sb="7" eb="9">
      <t>スイドウ</t>
    </rPh>
    <rPh sb="9" eb="11">
      <t>カンセイ</t>
    </rPh>
    <phoneticPr fontId="2"/>
  </si>
  <si>
    <t>井田川地区簡易水道</t>
    <phoneticPr fontId="2"/>
  </si>
  <si>
    <t>亀山警察署が東御幸町の国道１号線沿いに新築移転</t>
    <rPh sb="0" eb="2">
      <t>カメヤマ</t>
    </rPh>
    <rPh sb="2" eb="5">
      <t>ケイサツショ</t>
    </rPh>
    <rPh sb="6" eb="7">
      <t>ヒガシ</t>
    </rPh>
    <rPh sb="7" eb="8">
      <t>ミ</t>
    </rPh>
    <rPh sb="8" eb="9">
      <t>ユキ</t>
    </rPh>
    <rPh sb="9" eb="10">
      <t>マチ</t>
    </rPh>
    <rPh sb="11" eb="13">
      <t>コクドウ</t>
    </rPh>
    <rPh sb="14" eb="16">
      <t>ゴウセン</t>
    </rPh>
    <rPh sb="16" eb="17">
      <t>ソ</t>
    </rPh>
    <rPh sb="19" eb="21">
      <t>シンチク</t>
    </rPh>
    <rPh sb="21" eb="23">
      <t>イテン</t>
    </rPh>
    <phoneticPr fontId="2"/>
  </si>
  <si>
    <t>東御幸町</t>
    <phoneticPr fontId="2"/>
  </si>
  <si>
    <t>亀山警察署</t>
    <phoneticPr fontId="2"/>
  </si>
  <si>
    <t>移転時の写真（「亀山の近代化」）</t>
    <rPh sb="0" eb="3">
      <t>イテンジ</t>
    </rPh>
    <rPh sb="4" eb="6">
      <t>シャシン</t>
    </rPh>
    <rPh sb="8" eb="10">
      <t>カメヤマ</t>
    </rPh>
    <rPh sb="11" eb="14">
      <t>キンダイカ</t>
    </rPh>
    <phoneticPr fontId="2"/>
  </si>
  <si>
    <t>『亀山のあゆみ』P.181・年表</t>
    <rPh sb="14" eb="16">
      <t>ネ</t>
    </rPh>
    <phoneticPr fontId="2"/>
  </si>
  <si>
    <t>佐藤ライト工業所で関町初の労働組合結成</t>
    <rPh sb="0" eb="2">
      <t>サトウ</t>
    </rPh>
    <rPh sb="5" eb="8">
      <t>コウギョウショ</t>
    </rPh>
    <rPh sb="9" eb="11">
      <t>セキチョウ</t>
    </rPh>
    <rPh sb="11" eb="12">
      <t>ハツ</t>
    </rPh>
    <rPh sb="13" eb="15">
      <t>ロウドウ</t>
    </rPh>
    <rPh sb="15" eb="17">
      <t>クミアイ</t>
    </rPh>
    <rPh sb="17" eb="19">
      <t>ケッセイ</t>
    </rPh>
    <phoneticPr fontId="2"/>
  </si>
  <si>
    <t>佐藤ライト工業所</t>
    <phoneticPr fontId="2"/>
  </si>
  <si>
    <t>津地方法務局関出張所落成</t>
    <rPh sb="0" eb="1">
      <t>ツ</t>
    </rPh>
    <rPh sb="1" eb="3">
      <t>チホウ</t>
    </rPh>
    <rPh sb="3" eb="6">
      <t>ホウムキョク</t>
    </rPh>
    <rPh sb="6" eb="7">
      <t>セキ</t>
    </rPh>
    <rPh sb="7" eb="9">
      <t>シュッチョウ</t>
    </rPh>
    <rPh sb="9" eb="10">
      <t>ショ</t>
    </rPh>
    <rPh sb="10" eb="12">
      <t>ラクセイ</t>
    </rPh>
    <phoneticPr fontId="2"/>
  </si>
  <si>
    <t>津地方法務局関出張所</t>
    <phoneticPr fontId="2"/>
  </si>
  <si>
    <t>市瀬転石の関町町有林において植樹祭を挙行する</t>
    <rPh sb="0" eb="2">
      <t>イチノセ</t>
    </rPh>
    <rPh sb="2" eb="3">
      <t>コロ</t>
    </rPh>
    <rPh sb="3" eb="4">
      <t>イシ</t>
    </rPh>
    <rPh sb="5" eb="7">
      <t>セキチョウ</t>
    </rPh>
    <rPh sb="7" eb="8">
      <t>マチ</t>
    </rPh>
    <rPh sb="8" eb="9">
      <t>アリ</t>
    </rPh>
    <rPh sb="9" eb="10">
      <t>ハヤシ</t>
    </rPh>
    <rPh sb="14" eb="16">
      <t>ショクジュ</t>
    </rPh>
    <rPh sb="16" eb="17">
      <t>サイ</t>
    </rPh>
    <rPh sb="18" eb="20">
      <t>キョコウ</t>
    </rPh>
    <phoneticPr fontId="2"/>
  </si>
  <si>
    <t>関町市瀬</t>
    <rPh sb="0" eb="1">
      <t>セキ</t>
    </rPh>
    <rPh sb="1" eb="2">
      <t>チョウ</t>
    </rPh>
    <rPh sb="2" eb="3">
      <t>イチ</t>
    </rPh>
    <rPh sb="3" eb="4">
      <t>セ</t>
    </rPh>
    <phoneticPr fontId="2"/>
  </si>
  <si>
    <t>新農山漁村建設促進対策事業特別地域として国の指定を受ける</t>
    <rPh sb="0" eb="1">
      <t>シン</t>
    </rPh>
    <rPh sb="1" eb="5">
      <t>ノウサンギョソン</t>
    </rPh>
    <rPh sb="5" eb="7">
      <t>ケンセツ</t>
    </rPh>
    <rPh sb="7" eb="9">
      <t>ソクシン</t>
    </rPh>
    <rPh sb="9" eb="11">
      <t>タイサク</t>
    </rPh>
    <rPh sb="11" eb="13">
      <t>ジギョウ</t>
    </rPh>
    <rPh sb="13" eb="15">
      <t>トクベツ</t>
    </rPh>
    <rPh sb="15" eb="17">
      <t>チイキ</t>
    </rPh>
    <rPh sb="20" eb="21">
      <t>クニ</t>
    </rPh>
    <rPh sb="22" eb="24">
      <t>シテイ</t>
    </rPh>
    <rPh sb="25" eb="26">
      <t>ウ</t>
    </rPh>
    <phoneticPr fontId="2"/>
  </si>
  <si>
    <t>新関町連合自治会設立</t>
    <rPh sb="0" eb="1">
      <t>シン</t>
    </rPh>
    <rPh sb="1" eb="3">
      <t>セキチョウ</t>
    </rPh>
    <rPh sb="3" eb="5">
      <t>レンゴウ</t>
    </rPh>
    <rPh sb="5" eb="8">
      <t>ジチカイ</t>
    </rPh>
    <rPh sb="8" eb="10">
      <t>セツリツ</t>
    </rPh>
    <phoneticPr fontId="2"/>
  </si>
  <si>
    <t>法隆寺管長を招き地蔵院愛染堂落慶法要が営まれる</t>
    <rPh sb="0" eb="3">
      <t>ホウリュウジ</t>
    </rPh>
    <rPh sb="3" eb="5">
      <t>カンチョウ</t>
    </rPh>
    <rPh sb="6" eb="7">
      <t>マネ</t>
    </rPh>
    <rPh sb="8" eb="11">
      <t>ジゾウイン</t>
    </rPh>
    <rPh sb="11" eb="13">
      <t>アイゼン</t>
    </rPh>
    <rPh sb="13" eb="14">
      <t>ドウ</t>
    </rPh>
    <rPh sb="14" eb="16">
      <t>ラッケイ</t>
    </rPh>
    <rPh sb="16" eb="18">
      <t>ホウヨウ</t>
    </rPh>
    <rPh sb="19" eb="20">
      <t>イトナ</t>
    </rPh>
    <phoneticPr fontId="2"/>
  </si>
  <si>
    <t>新農山漁村建設促進対策事業として青年研修所を設置</t>
    <rPh sb="0" eb="1">
      <t>シン</t>
    </rPh>
    <rPh sb="1" eb="5">
      <t>ノウサンギョソン</t>
    </rPh>
    <rPh sb="4" eb="5">
      <t>ソン</t>
    </rPh>
    <rPh sb="5" eb="7">
      <t>ケンセツ</t>
    </rPh>
    <rPh sb="7" eb="9">
      <t>ソクシン</t>
    </rPh>
    <rPh sb="9" eb="11">
      <t>タイサク</t>
    </rPh>
    <rPh sb="11" eb="13">
      <t>ジギョウ</t>
    </rPh>
    <rPh sb="16" eb="18">
      <t>セイネン</t>
    </rPh>
    <rPh sb="18" eb="20">
      <t>ケンシュウ</t>
    </rPh>
    <rPh sb="20" eb="21">
      <t>ショ</t>
    </rPh>
    <rPh sb="22" eb="24">
      <t>セッチ</t>
    </rPh>
    <phoneticPr fontId="2"/>
  </si>
  <si>
    <t>青年研修所</t>
    <phoneticPr fontId="2"/>
  </si>
  <si>
    <t>昭和34</t>
  </si>
  <si>
    <t>「亀山市時報」を「広報かめやま」に改名</t>
    <rPh sb="1" eb="4">
      <t>カメヤマシ</t>
    </rPh>
    <rPh sb="4" eb="6">
      <t>ジホウ</t>
    </rPh>
    <rPh sb="9" eb="11">
      <t>コウホウ</t>
    </rPh>
    <rPh sb="17" eb="19">
      <t>カイメイ</t>
    </rPh>
    <phoneticPr fontId="2"/>
  </si>
  <si>
    <t>三重交通が亀山～草津間に急行バスを運行</t>
    <rPh sb="0" eb="2">
      <t>ミエ</t>
    </rPh>
    <rPh sb="2" eb="4">
      <t>コウツウ</t>
    </rPh>
    <rPh sb="5" eb="7">
      <t>カメヤマ</t>
    </rPh>
    <rPh sb="8" eb="10">
      <t>クサツ</t>
    </rPh>
    <rPh sb="10" eb="11">
      <t>アイダ</t>
    </rPh>
    <rPh sb="12" eb="14">
      <t>キュウコウ</t>
    </rPh>
    <rPh sb="17" eb="19">
      <t>ウンコウ</t>
    </rPh>
    <phoneticPr fontId="2"/>
  </si>
  <si>
    <t>三重交通</t>
    <phoneticPr fontId="2"/>
  </si>
  <si>
    <t>『亀山のあゆみ』年表
『鈴鹿関町史』下巻年表</t>
    <rPh sb="8" eb="10">
      <t>ネ</t>
    </rPh>
    <rPh sb="12" eb="14">
      <t>スズカ</t>
    </rPh>
    <rPh sb="14" eb="15">
      <t>セキ</t>
    </rPh>
    <rPh sb="15" eb="17">
      <t>チョウシ</t>
    </rPh>
    <rPh sb="18" eb="20">
      <t>ゲカン</t>
    </rPh>
    <rPh sb="20" eb="22">
      <t>ネンピョウ</t>
    </rPh>
    <phoneticPr fontId="2"/>
  </si>
  <si>
    <t>田島シルク株式会社設立</t>
    <rPh sb="0" eb="2">
      <t>タジマ</t>
    </rPh>
    <rPh sb="5" eb="7">
      <t>カブシキ</t>
    </rPh>
    <rPh sb="7" eb="9">
      <t>カイシャ</t>
    </rPh>
    <rPh sb="9" eb="11">
      <t>セツリツ</t>
    </rPh>
    <phoneticPr fontId="2"/>
  </si>
  <si>
    <t>鹿島町</t>
    <rPh sb="0" eb="2">
      <t>カシマ</t>
    </rPh>
    <rPh sb="2" eb="3">
      <t>マチ</t>
    </rPh>
    <phoneticPr fontId="2"/>
  </si>
  <si>
    <t>田島シルク株式会社</t>
    <phoneticPr fontId="2"/>
  </si>
  <si>
    <t>メートル法実施状況で亀山が県下で一番となり、通産大臣などから商工会議所などが感謝状を受ける</t>
    <rPh sb="4" eb="5">
      <t>ホウ</t>
    </rPh>
    <rPh sb="5" eb="7">
      <t>ジッシ</t>
    </rPh>
    <rPh sb="7" eb="9">
      <t>ジョウキョウ</t>
    </rPh>
    <rPh sb="10" eb="12">
      <t>カメヤマ</t>
    </rPh>
    <rPh sb="13" eb="15">
      <t>ケンカ</t>
    </rPh>
    <rPh sb="16" eb="18">
      <t>イチバン</t>
    </rPh>
    <rPh sb="22" eb="24">
      <t>ツウサン</t>
    </rPh>
    <rPh sb="24" eb="26">
      <t>ダイジン</t>
    </rPh>
    <rPh sb="30" eb="32">
      <t>ショウコウ</t>
    </rPh>
    <rPh sb="32" eb="35">
      <t>カイギショ</t>
    </rPh>
    <rPh sb="38" eb="41">
      <t>カンシャジョウ</t>
    </rPh>
    <rPh sb="42" eb="43">
      <t>ウ</t>
    </rPh>
    <phoneticPr fontId="2"/>
  </si>
  <si>
    <t>紀勢本線亀山～和歌山間全線開通、亀山に国鉄ディーゼル機関車基地が設置される</t>
    <rPh sb="0" eb="2">
      <t>キセイ</t>
    </rPh>
    <rPh sb="2" eb="3">
      <t>ホン</t>
    </rPh>
    <rPh sb="3" eb="4">
      <t>セン</t>
    </rPh>
    <rPh sb="4" eb="6">
      <t>カメヤマ</t>
    </rPh>
    <rPh sb="7" eb="10">
      <t>ワカヤマ</t>
    </rPh>
    <rPh sb="10" eb="11">
      <t>アイダ</t>
    </rPh>
    <rPh sb="11" eb="13">
      <t>ゼンセン</t>
    </rPh>
    <rPh sb="13" eb="15">
      <t>カイツウ</t>
    </rPh>
    <rPh sb="16" eb="18">
      <t>カメヤマ</t>
    </rPh>
    <rPh sb="19" eb="21">
      <t>コクテツ</t>
    </rPh>
    <rPh sb="26" eb="28">
      <t>キカン</t>
    </rPh>
    <rPh sb="28" eb="29">
      <t>シャ</t>
    </rPh>
    <rPh sb="29" eb="31">
      <t>キチ</t>
    </rPh>
    <rPh sb="32" eb="34">
      <t>セッチ</t>
    </rPh>
    <phoneticPr fontId="2"/>
  </si>
  <si>
    <t>国鉄ディーゼル機関車基地</t>
  </si>
  <si>
    <t>亀山警察署の電話番号が110番になる</t>
    <rPh sb="0" eb="2">
      <t>カメヤマ</t>
    </rPh>
    <rPh sb="2" eb="5">
      <t>ケイサツショ</t>
    </rPh>
    <rPh sb="6" eb="8">
      <t>デンワ</t>
    </rPh>
    <rPh sb="8" eb="10">
      <t>バンゴウ</t>
    </rPh>
    <rPh sb="14" eb="15">
      <t>バン</t>
    </rPh>
    <phoneticPr fontId="2"/>
  </si>
  <si>
    <t>東町</t>
    <rPh sb="0" eb="2">
      <t>ヒガシマチ</t>
    </rPh>
    <phoneticPr fontId="2"/>
  </si>
  <si>
    <t>亀山警察署</t>
    <phoneticPr fontId="2"/>
  </si>
  <si>
    <t>台風7号で家屋全半壊18戸、床上浸水169戸、床下浸水256戸、田畑５３２５反が被害を受ける</t>
    <rPh sb="0" eb="2">
      <t>タイフウ</t>
    </rPh>
    <rPh sb="3" eb="4">
      <t>ゴウ</t>
    </rPh>
    <rPh sb="5" eb="7">
      <t>カオク</t>
    </rPh>
    <rPh sb="7" eb="8">
      <t>ゼン</t>
    </rPh>
    <rPh sb="8" eb="10">
      <t>ハンカイ</t>
    </rPh>
    <rPh sb="12" eb="13">
      <t>コ</t>
    </rPh>
    <rPh sb="14" eb="16">
      <t>ユカウエ</t>
    </rPh>
    <rPh sb="16" eb="18">
      <t>シンスイ</t>
    </rPh>
    <rPh sb="21" eb="22">
      <t>コ</t>
    </rPh>
    <rPh sb="23" eb="25">
      <t>ユカシタ</t>
    </rPh>
    <rPh sb="25" eb="27">
      <t>シンスイ</t>
    </rPh>
    <rPh sb="30" eb="31">
      <t>コ</t>
    </rPh>
    <rPh sb="32" eb="34">
      <t>タハタ</t>
    </rPh>
    <rPh sb="38" eb="39">
      <t>ハン</t>
    </rPh>
    <rPh sb="40" eb="42">
      <t>ヒガイ</t>
    </rPh>
    <rPh sb="43" eb="44">
      <t>ウ</t>
    </rPh>
    <phoneticPr fontId="2"/>
  </si>
  <si>
    <t>伊勢湾台風の被害を受ける
亀山市では家屋全半壊238戸、床下浸水55戸
亀山市に初めて災害救助法を適用
関町では住家の損害として全壊１戸、損壊数百戸、関神社の石灯籠２３基が倒壊、倒木は５万本、法安寺門前の大老松が倒壊</t>
    <rPh sb="13" eb="16">
      <t>カメヤマシ</t>
    </rPh>
    <rPh sb="18" eb="20">
      <t>カオク</t>
    </rPh>
    <rPh sb="20" eb="21">
      <t>ゼン</t>
    </rPh>
    <rPh sb="21" eb="23">
      <t>ハンカイ</t>
    </rPh>
    <rPh sb="26" eb="27">
      <t>コ</t>
    </rPh>
    <rPh sb="28" eb="29">
      <t>ユカ</t>
    </rPh>
    <rPh sb="29" eb="30">
      <t>シタ</t>
    </rPh>
    <rPh sb="30" eb="32">
      <t>シンスイ</t>
    </rPh>
    <rPh sb="34" eb="35">
      <t>コ</t>
    </rPh>
    <rPh sb="36" eb="39">
      <t>カメヤマシ</t>
    </rPh>
    <rPh sb="40" eb="41">
      <t>ハジ</t>
    </rPh>
    <rPh sb="43" eb="45">
      <t>サイガイ</t>
    </rPh>
    <rPh sb="45" eb="47">
      <t>キュウジョ</t>
    </rPh>
    <rPh sb="47" eb="48">
      <t>ホウ</t>
    </rPh>
    <rPh sb="49" eb="51">
      <t>テキヨウ</t>
    </rPh>
    <rPh sb="52" eb="54">
      <t>セキチョウ</t>
    </rPh>
    <rPh sb="56" eb="57">
      <t>ス</t>
    </rPh>
    <rPh sb="57" eb="58">
      <t>イエ</t>
    </rPh>
    <rPh sb="59" eb="61">
      <t>ソンガイ</t>
    </rPh>
    <rPh sb="64" eb="66">
      <t>ゼンカイ</t>
    </rPh>
    <rPh sb="67" eb="68">
      <t>コ</t>
    </rPh>
    <rPh sb="69" eb="71">
      <t>ソンカイ</t>
    </rPh>
    <rPh sb="71" eb="73">
      <t>スウヒャク</t>
    </rPh>
    <rPh sb="73" eb="74">
      <t>コ</t>
    </rPh>
    <rPh sb="75" eb="76">
      <t>セキ</t>
    </rPh>
    <rPh sb="76" eb="78">
      <t>ジンジャ</t>
    </rPh>
    <rPh sb="79" eb="80">
      <t>イシ</t>
    </rPh>
    <rPh sb="80" eb="82">
      <t>トウロウ</t>
    </rPh>
    <rPh sb="84" eb="85">
      <t>キ</t>
    </rPh>
    <rPh sb="86" eb="88">
      <t>トウカイ</t>
    </rPh>
    <rPh sb="89" eb="91">
      <t>トウボク</t>
    </rPh>
    <rPh sb="93" eb="94">
      <t>マン</t>
    </rPh>
    <rPh sb="94" eb="95">
      <t>ホン</t>
    </rPh>
    <rPh sb="96" eb="97">
      <t>ホウ</t>
    </rPh>
    <rPh sb="97" eb="98">
      <t>アン</t>
    </rPh>
    <rPh sb="98" eb="99">
      <t>テラ</t>
    </rPh>
    <rPh sb="99" eb="101">
      <t>モンゼン</t>
    </rPh>
    <rPh sb="102" eb="103">
      <t>オオ</t>
    </rPh>
    <rPh sb="103" eb="105">
      <t>オイマツ</t>
    </rPh>
    <rPh sb="106" eb="108">
      <t>トウカイ</t>
    </rPh>
    <phoneticPr fontId="2"/>
  </si>
  <si>
    <t>日本の歴史の中の亀山／現代の亀山／自然災害／台風や集中豪雨による水害／1959年（昭和34）９月26日伊勢湾台風</t>
    <rPh sb="17" eb="21">
      <t>シゼンサイガイ</t>
    </rPh>
    <rPh sb="22" eb="24">
      <t>タイフウ</t>
    </rPh>
    <rPh sb="25" eb="27">
      <t>シュウチュウ</t>
    </rPh>
    <rPh sb="27" eb="29">
      <t>ゴウウ</t>
    </rPh>
    <rPh sb="32" eb="34">
      <t>スイガイ</t>
    </rPh>
    <phoneticPr fontId="2"/>
  </si>
  <si>
    <t>http://kameyamarekihaku.jp/kodomo/w_e_b/rekishi/gendai/saigai/suigai/page002.html</t>
  </si>
  <si>
    <t>『亀山のあゆみ』P.167・年表
『鈴鹿関町史』下巻年表</t>
    <rPh sb="14" eb="16">
      <t>ネ</t>
    </rPh>
    <rPh sb="18" eb="20">
      <t>スズカ</t>
    </rPh>
    <rPh sb="20" eb="21">
      <t>セキ</t>
    </rPh>
    <rPh sb="21" eb="23">
      <t>チョウシ</t>
    </rPh>
    <rPh sb="24" eb="26">
      <t>ゲカン</t>
    </rPh>
    <rPh sb="26" eb="28">
      <t>ネンピョウ</t>
    </rPh>
    <phoneticPr fontId="2"/>
  </si>
  <si>
    <t>昼生地区簡易水道完成</t>
    <rPh sb="0" eb="2">
      <t>ヒルオ</t>
    </rPh>
    <rPh sb="2" eb="4">
      <t>チク</t>
    </rPh>
    <rPh sb="4" eb="6">
      <t>カンイ</t>
    </rPh>
    <rPh sb="6" eb="8">
      <t>スイドウ</t>
    </rPh>
    <rPh sb="8" eb="10">
      <t>カンセイ</t>
    </rPh>
    <phoneticPr fontId="2"/>
  </si>
  <si>
    <t>昼生地区簡易水道</t>
    <phoneticPr fontId="2"/>
  </si>
  <si>
    <t>亀山商工業協同組合結成</t>
    <rPh sb="0" eb="2">
      <t>カメヤマ</t>
    </rPh>
    <rPh sb="2" eb="4">
      <t>ショウコウ</t>
    </rPh>
    <rPh sb="4" eb="5">
      <t>ギョウ</t>
    </rPh>
    <rPh sb="5" eb="7">
      <t>キョウドウ</t>
    </rPh>
    <rPh sb="7" eb="9">
      <t>クミアイ</t>
    </rPh>
    <rPh sb="9" eb="11">
      <t>ケッセイ</t>
    </rPh>
    <phoneticPr fontId="2"/>
  </si>
  <si>
    <t>山田木水『亀山地方郷土史』（謄写印刷）発刊</t>
    <rPh sb="0" eb="2">
      <t>ヤマダ</t>
    </rPh>
    <rPh sb="2" eb="3">
      <t>キ</t>
    </rPh>
    <rPh sb="3" eb="4">
      <t>ミズ</t>
    </rPh>
    <rPh sb="5" eb="7">
      <t>カメヤマ</t>
    </rPh>
    <rPh sb="7" eb="9">
      <t>チホウ</t>
    </rPh>
    <rPh sb="9" eb="11">
      <t>キョウド</t>
    </rPh>
    <rPh sb="11" eb="12">
      <t>シ</t>
    </rPh>
    <rPh sb="14" eb="16">
      <t>トウシャ</t>
    </rPh>
    <rPh sb="16" eb="18">
      <t>インサツ</t>
    </rPh>
    <rPh sb="19" eb="21">
      <t>ハッカン</t>
    </rPh>
    <phoneticPr fontId="2"/>
  </si>
  <si>
    <t>山田木水</t>
    <phoneticPr fontId="2"/>
  </si>
  <si>
    <t>『亀山地方郷土史』</t>
  </si>
  <si>
    <t>関町内の国道一号線の舗装完工</t>
    <rPh sb="0" eb="2">
      <t>セキチョウ</t>
    </rPh>
    <rPh sb="2" eb="3">
      <t>ナイ</t>
    </rPh>
    <rPh sb="4" eb="6">
      <t>コクドウ</t>
    </rPh>
    <rPh sb="6" eb="9">
      <t>イチゴウセン</t>
    </rPh>
    <rPh sb="10" eb="12">
      <t>ホソウ</t>
    </rPh>
    <rPh sb="12" eb="14">
      <t>カンコウ</t>
    </rPh>
    <phoneticPr fontId="2"/>
  </si>
  <si>
    <t>国道一号</t>
    <phoneticPr fontId="2"/>
  </si>
  <si>
    <t>関町観音山平和の塔が改装され、慰霊塔と改称して慰霊祭執行</t>
    <rPh sb="0" eb="2">
      <t>セキチョウ</t>
    </rPh>
    <rPh sb="2" eb="4">
      <t>カンノン</t>
    </rPh>
    <rPh sb="4" eb="5">
      <t>ヤマ</t>
    </rPh>
    <rPh sb="5" eb="7">
      <t>ヘイワ</t>
    </rPh>
    <rPh sb="8" eb="9">
      <t>トウ</t>
    </rPh>
    <rPh sb="10" eb="12">
      <t>カイソウ</t>
    </rPh>
    <rPh sb="15" eb="17">
      <t>イレイ</t>
    </rPh>
    <rPh sb="17" eb="18">
      <t>トウ</t>
    </rPh>
    <rPh sb="19" eb="21">
      <t>カイショウ</t>
    </rPh>
    <rPh sb="23" eb="25">
      <t>イレイ</t>
    </rPh>
    <rPh sb="25" eb="26">
      <t>サイ</t>
    </rPh>
    <rPh sb="26" eb="28">
      <t>シッコウ</t>
    </rPh>
    <phoneticPr fontId="2"/>
  </si>
  <si>
    <t>関町観音山</t>
    <phoneticPr fontId="2"/>
  </si>
  <si>
    <t>亀山のいいとこさがし／景色のよいところや歴史を知る手掛かりとなるもの／山／名勝</t>
    <phoneticPr fontId="2"/>
  </si>
  <si>
    <t>大和橋架設</t>
    <rPh sb="0" eb="2">
      <t>ヤマト</t>
    </rPh>
    <rPh sb="2" eb="3">
      <t>バシ</t>
    </rPh>
    <rPh sb="3" eb="5">
      <t>カセツ</t>
    </rPh>
    <phoneticPr fontId="2"/>
  </si>
  <si>
    <t>大和橋</t>
    <phoneticPr fontId="2"/>
  </si>
  <si>
    <t>坂下小学校の給食施設を整備し、完全給食実施</t>
    <rPh sb="2" eb="5">
      <t>ショウガッコウ</t>
    </rPh>
    <rPh sb="6" eb="8">
      <t>キュウショク</t>
    </rPh>
    <rPh sb="8" eb="10">
      <t>シセツ</t>
    </rPh>
    <rPh sb="11" eb="13">
      <t>セイビ</t>
    </rPh>
    <rPh sb="15" eb="17">
      <t>カンゼン</t>
    </rPh>
    <rPh sb="17" eb="19">
      <t>キュウショク</t>
    </rPh>
    <rPh sb="19" eb="21">
      <t>ジッシ</t>
    </rPh>
    <phoneticPr fontId="2"/>
  </si>
  <si>
    <t>坂下小学校</t>
  </si>
  <si>
    <t>新農村事業として会下農道を完成</t>
    <rPh sb="0" eb="1">
      <t>シン</t>
    </rPh>
    <rPh sb="1" eb="3">
      <t>ノウソン</t>
    </rPh>
    <rPh sb="3" eb="5">
      <t>ジギョウ</t>
    </rPh>
    <rPh sb="8" eb="10">
      <t>エゲ</t>
    </rPh>
    <rPh sb="10" eb="12">
      <t>ノウドウ</t>
    </rPh>
    <rPh sb="13" eb="15">
      <t>カンセイ</t>
    </rPh>
    <phoneticPr fontId="2"/>
  </si>
  <si>
    <t>会下農道</t>
    <phoneticPr fontId="2"/>
  </si>
  <si>
    <t>関町体育協会結成</t>
    <rPh sb="2" eb="4">
      <t>タイイク</t>
    </rPh>
    <rPh sb="4" eb="6">
      <t>キョウカイ</t>
    </rPh>
    <rPh sb="6" eb="8">
      <t>ケッセイ</t>
    </rPh>
    <phoneticPr fontId="2"/>
  </si>
  <si>
    <t>関町と鈴峯村で鈴鹿郡体育協会結成</t>
    <rPh sb="0" eb="2">
      <t>セキチョウ</t>
    </rPh>
    <rPh sb="3" eb="4">
      <t>スズ</t>
    </rPh>
    <rPh sb="4" eb="5">
      <t>ミネ</t>
    </rPh>
    <rPh sb="5" eb="6">
      <t>ムラ</t>
    </rPh>
    <rPh sb="7" eb="10">
      <t>スズカグン</t>
    </rPh>
    <rPh sb="10" eb="12">
      <t>タイイク</t>
    </rPh>
    <rPh sb="12" eb="14">
      <t>キョウカイ</t>
    </rPh>
    <rPh sb="14" eb="16">
      <t>ケッセイ</t>
    </rPh>
    <phoneticPr fontId="2"/>
  </si>
  <si>
    <t>新農山漁村建設促進事業として中在家・市場地内に共同乾燥場を落成</t>
    <rPh sb="0" eb="1">
      <t>シン</t>
    </rPh>
    <rPh sb="1" eb="2">
      <t>ノウ</t>
    </rPh>
    <rPh sb="2" eb="3">
      <t>ヤマ</t>
    </rPh>
    <rPh sb="3" eb="4">
      <t>ギョ</t>
    </rPh>
    <rPh sb="4" eb="5">
      <t>ムラ</t>
    </rPh>
    <rPh sb="5" eb="7">
      <t>ケンセツ</t>
    </rPh>
    <rPh sb="7" eb="9">
      <t>ソクシン</t>
    </rPh>
    <rPh sb="9" eb="11">
      <t>ジギョウ</t>
    </rPh>
    <rPh sb="14" eb="17">
      <t>ナカザイケ</t>
    </rPh>
    <rPh sb="18" eb="20">
      <t>イチバ</t>
    </rPh>
    <rPh sb="20" eb="21">
      <t>チ</t>
    </rPh>
    <rPh sb="21" eb="22">
      <t>ナイ</t>
    </rPh>
    <rPh sb="23" eb="25">
      <t>キョウドウ</t>
    </rPh>
    <rPh sb="25" eb="27">
      <t>カンソウ</t>
    </rPh>
    <rPh sb="27" eb="28">
      <t>バ</t>
    </rPh>
    <rPh sb="29" eb="31">
      <t>ラクセイ</t>
    </rPh>
    <phoneticPr fontId="2"/>
  </si>
  <si>
    <t>加太中在家・加太市場</t>
    <rPh sb="0" eb="2">
      <t>カブト</t>
    </rPh>
    <rPh sb="6" eb="8">
      <t>カブト</t>
    </rPh>
    <phoneticPr fontId="2"/>
  </si>
  <si>
    <t>共同乾燥場</t>
    <phoneticPr fontId="2"/>
  </si>
  <si>
    <t>国鉄バスが北在家・中在家間に営業</t>
    <rPh sb="0" eb="2">
      <t>コクテツ</t>
    </rPh>
    <rPh sb="5" eb="6">
      <t>キタ</t>
    </rPh>
    <rPh sb="6" eb="8">
      <t>ザイケ</t>
    </rPh>
    <rPh sb="9" eb="10">
      <t>ナカ</t>
    </rPh>
    <rPh sb="10" eb="12">
      <t>ザイケ</t>
    </rPh>
    <rPh sb="12" eb="13">
      <t>アイダ</t>
    </rPh>
    <rPh sb="14" eb="16">
      <t>エイギョウ</t>
    </rPh>
    <phoneticPr fontId="2"/>
  </si>
  <si>
    <t>関郵便局が国有局舎を新築する</t>
    <rPh sb="0" eb="1">
      <t>セキ</t>
    </rPh>
    <rPh sb="1" eb="4">
      <t>ユウビンキョク</t>
    </rPh>
    <rPh sb="5" eb="7">
      <t>コクユウ</t>
    </rPh>
    <rPh sb="7" eb="8">
      <t>キョク</t>
    </rPh>
    <rPh sb="8" eb="9">
      <t>シャ</t>
    </rPh>
    <rPh sb="10" eb="12">
      <t>シンチク</t>
    </rPh>
    <phoneticPr fontId="2"/>
  </si>
  <si>
    <t>関郵便局</t>
    <phoneticPr fontId="2"/>
  </si>
  <si>
    <t>昭和35</t>
  </si>
  <si>
    <t>亀山市・鈴鹿市学校組合立合生中学校が廃校となり、市内在校生は亀山中学校へ編入となる</t>
    <rPh sb="0" eb="3">
      <t>カメヤマシ</t>
    </rPh>
    <rPh sb="4" eb="7">
      <t>スズカシ</t>
    </rPh>
    <rPh sb="7" eb="9">
      <t>ガッコウ</t>
    </rPh>
    <rPh sb="9" eb="11">
      <t>クミアイ</t>
    </rPh>
    <rPh sb="11" eb="12">
      <t>リツ</t>
    </rPh>
    <rPh sb="12" eb="14">
      <t>アイオイ</t>
    </rPh>
    <rPh sb="14" eb="17">
      <t>チュウガッコウ</t>
    </rPh>
    <rPh sb="18" eb="20">
      <t>ハイコウ</t>
    </rPh>
    <rPh sb="24" eb="26">
      <t>シナイ</t>
    </rPh>
    <rPh sb="26" eb="29">
      <t>ザイコウセイ</t>
    </rPh>
    <rPh sb="30" eb="32">
      <t>カメヤマ</t>
    </rPh>
    <rPh sb="32" eb="35">
      <t>チュウガッコウ</t>
    </rPh>
    <rPh sb="36" eb="38">
      <t>ヘンニュウ</t>
    </rPh>
    <phoneticPr fontId="2"/>
  </si>
  <si>
    <t>昼生</t>
    <rPh sb="0" eb="1">
      <t>ヒル</t>
    </rPh>
    <rPh sb="1" eb="2">
      <t>セイ</t>
    </rPh>
    <phoneticPr fontId="2"/>
  </si>
  <si>
    <t>鈴鹿市</t>
    <rPh sb="0" eb="3">
      <t>スズカシ</t>
    </rPh>
    <phoneticPr fontId="2"/>
  </si>
  <si>
    <t>亀山市・鈴鹿市学校組合立合生中学校</t>
    <rPh sb="12" eb="13">
      <t>ア</t>
    </rPh>
    <phoneticPr fontId="2"/>
  </si>
  <si>
    <t>学校のあゆみ／亀山中学校のれきし</t>
    <phoneticPr fontId="2"/>
  </si>
  <si>
    <t>『亀山のあゆみ』P.387・P.413・年表
『亀山市史』歴史分野</t>
    <rPh sb="20" eb="22">
      <t>ネ</t>
    </rPh>
    <rPh sb="24" eb="27">
      <t>カメヤマシ</t>
    </rPh>
    <rPh sb="27" eb="28">
      <t>シ</t>
    </rPh>
    <rPh sb="29" eb="31">
      <t>レキシ</t>
    </rPh>
    <rPh sb="31" eb="33">
      <t>ブンヤ</t>
    </rPh>
    <phoneticPr fontId="2"/>
  </si>
  <si>
    <t>白川小学校が完全給食を開始（5月）、井田川小は6月に開始する</t>
    <rPh sb="0" eb="2">
      <t>シラカワ</t>
    </rPh>
    <rPh sb="2" eb="5">
      <t>ショウガッコウ</t>
    </rPh>
    <rPh sb="6" eb="8">
      <t>カンゼン</t>
    </rPh>
    <rPh sb="8" eb="10">
      <t>キュウショク</t>
    </rPh>
    <rPh sb="11" eb="13">
      <t>カイシ</t>
    </rPh>
    <rPh sb="15" eb="16">
      <t>ガツ</t>
    </rPh>
    <rPh sb="18" eb="21">
      <t>イダガワ</t>
    </rPh>
    <rPh sb="21" eb="22">
      <t>ショウ</t>
    </rPh>
    <rPh sb="24" eb="25">
      <t>ガツ</t>
    </rPh>
    <rPh sb="26" eb="28">
      <t>カイシ</t>
    </rPh>
    <phoneticPr fontId="2"/>
  </si>
  <si>
    <t>白川・井田川</t>
    <rPh sb="0" eb="2">
      <t>シラカワ</t>
    </rPh>
    <rPh sb="3" eb="6">
      <t>イダガワ</t>
    </rPh>
    <phoneticPr fontId="2"/>
  </si>
  <si>
    <t>白木町・みどり町</t>
    <rPh sb="0" eb="3">
      <t>シラキチョウ</t>
    </rPh>
    <rPh sb="7" eb="8">
      <t>チョウ</t>
    </rPh>
    <phoneticPr fontId="2"/>
  </si>
  <si>
    <t>白川小学校・井田川小学校</t>
    <rPh sb="0" eb="2">
      <t>シラカワ</t>
    </rPh>
    <rPh sb="2" eb="5">
      <t>ショウガッコウ</t>
    </rPh>
    <rPh sb="6" eb="9">
      <t>イダガワ</t>
    </rPh>
    <rPh sb="9" eb="12">
      <t>ショウガッコウ</t>
    </rPh>
    <phoneticPr fontId="2"/>
  </si>
  <si>
    <t>学校のあゆみ／白川小学校のれきし</t>
    <rPh sb="7" eb="9">
      <t>シラカワ</t>
    </rPh>
    <phoneticPr fontId="2"/>
  </si>
  <si>
    <t>http://kameyamarekihaku.jp/kodomo/w_e_b/ayumi/page010.html</t>
  </si>
  <si>
    <t>能褒野町の字を「字能褒野」に統一する</t>
    <rPh sb="0" eb="4">
      <t>ノボノチョウ</t>
    </rPh>
    <rPh sb="5" eb="6">
      <t>アザ</t>
    </rPh>
    <rPh sb="8" eb="9">
      <t>アザ</t>
    </rPh>
    <rPh sb="9" eb="12">
      <t>ノボノ</t>
    </rPh>
    <rPh sb="14" eb="16">
      <t>トウイツ</t>
    </rPh>
    <phoneticPr fontId="2"/>
  </si>
  <si>
    <t>能褒野町</t>
  </si>
  <si>
    <t>野登、白川の両森林組合を対等合併し、亀山森林組合を設立</t>
    <rPh sb="0" eb="2">
      <t>ノノボリ</t>
    </rPh>
    <rPh sb="3" eb="5">
      <t>シラカワ</t>
    </rPh>
    <rPh sb="6" eb="7">
      <t>リョウ</t>
    </rPh>
    <rPh sb="7" eb="9">
      <t>シンリン</t>
    </rPh>
    <rPh sb="9" eb="11">
      <t>クミアイ</t>
    </rPh>
    <rPh sb="12" eb="14">
      <t>タイトウ</t>
    </rPh>
    <rPh sb="14" eb="16">
      <t>ガッペイ</t>
    </rPh>
    <rPh sb="18" eb="20">
      <t>カメヤマ</t>
    </rPh>
    <rPh sb="20" eb="22">
      <t>シンリン</t>
    </rPh>
    <rPh sb="22" eb="24">
      <t>クミアイ</t>
    </rPh>
    <rPh sb="25" eb="27">
      <t>セツリツ</t>
    </rPh>
    <phoneticPr fontId="2"/>
  </si>
  <si>
    <t>野登・白川</t>
    <rPh sb="0" eb="2">
      <t>ノノボリ</t>
    </rPh>
    <rPh sb="3" eb="5">
      <t>シラカワ</t>
    </rPh>
    <phoneticPr fontId="2"/>
  </si>
  <si>
    <t>亀山森林組合</t>
    <phoneticPr fontId="2"/>
  </si>
  <si>
    <t>関町国民健康保険事業開始</t>
    <rPh sb="0" eb="2">
      <t>セキチョウ</t>
    </rPh>
    <rPh sb="2" eb="4">
      <t>コクミン</t>
    </rPh>
    <rPh sb="4" eb="6">
      <t>ケンコウ</t>
    </rPh>
    <rPh sb="6" eb="8">
      <t>ホケン</t>
    </rPh>
    <rPh sb="8" eb="10">
      <t>ジギョウ</t>
    </rPh>
    <rPh sb="10" eb="12">
      <t>カイシ</t>
    </rPh>
    <phoneticPr fontId="2"/>
  </si>
  <si>
    <t>金場頭首工完成</t>
    <rPh sb="0" eb="1">
      <t>カナ</t>
    </rPh>
    <rPh sb="1" eb="2">
      <t>バ</t>
    </rPh>
    <rPh sb="2" eb="3">
      <t>カシラ</t>
    </rPh>
    <rPh sb="3" eb="4">
      <t>クビ</t>
    </rPh>
    <rPh sb="4" eb="5">
      <t>コウ</t>
    </rPh>
    <rPh sb="5" eb="7">
      <t>カンセイ</t>
    </rPh>
    <phoneticPr fontId="2"/>
  </si>
  <si>
    <t>金場頭首工</t>
    <phoneticPr fontId="2"/>
  </si>
  <si>
    <t>西部中学校の亀山市内（白川・神辺）生徒が亀山中学校へ転校する</t>
    <rPh sb="0" eb="2">
      <t>セイブ</t>
    </rPh>
    <rPh sb="2" eb="5">
      <t>チュウガッコウ</t>
    </rPh>
    <rPh sb="6" eb="10">
      <t>カメヤマシナイ</t>
    </rPh>
    <rPh sb="11" eb="13">
      <t>シラカワ</t>
    </rPh>
    <rPh sb="14" eb="16">
      <t>カンベ</t>
    </rPh>
    <rPh sb="17" eb="19">
      <t>セイト</t>
    </rPh>
    <rPh sb="20" eb="22">
      <t>カメヤマ</t>
    </rPh>
    <rPh sb="22" eb="25">
      <t>チュウガッコウ</t>
    </rPh>
    <rPh sb="26" eb="28">
      <t>テンコウ</t>
    </rPh>
    <phoneticPr fontId="2"/>
  </si>
  <si>
    <t>関・白川・神辺</t>
    <rPh sb="0" eb="1">
      <t>セキ</t>
    </rPh>
    <rPh sb="2" eb="4">
      <t>シラカワ</t>
    </rPh>
    <rPh sb="5" eb="7">
      <t>カンベ</t>
    </rPh>
    <phoneticPr fontId="2"/>
  </si>
  <si>
    <t>関・坂下両農業協同組合合併する</t>
    <rPh sb="0" eb="1">
      <t>セキ</t>
    </rPh>
    <rPh sb="2" eb="4">
      <t>サカシタ</t>
    </rPh>
    <rPh sb="4" eb="5">
      <t>リョウ</t>
    </rPh>
    <rPh sb="5" eb="7">
      <t>ノウギョウ</t>
    </rPh>
    <rPh sb="7" eb="9">
      <t>キョウドウ</t>
    </rPh>
    <rPh sb="9" eb="11">
      <t>クミアイ</t>
    </rPh>
    <rPh sb="11" eb="13">
      <t>ガッペイ</t>
    </rPh>
    <phoneticPr fontId="2"/>
  </si>
  <si>
    <t>関・坂下両農業協同組合</t>
    <phoneticPr fontId="2"/>
  </si>
  <si>
    <t>関町老人会設立</t>
    <rPh sb="0" eb="2">
      <t>セキチョウ</t>
    </rPh>
    <rPh sb="2" eb="5">
      <t>ロウジンカイ</t>
    </rPh>
    <rPh sb="5" eb="7">
      <t>セツリツ</t>
    </rPh>
    <phoneticPr fontId="2"/>
  </si>
  <si>
    <t>新所権多羅の大日森遺跡より平安初期の古瓦を出土する</t>
    <rPh sb="0" eb="1">
      <t>シン</t>
    </rPh>
    <rPh sb="1" eb="2">
      <t>ショ</t>
    </rPh>
    <rPh sb="2" eb="3">
      <t>ケン</t>
    </rPh>
    <rPh sb="3" eb="4">
      <t>オオ</t>
    </rPh>
    <rPh sb="4" eb="5">
      <t>ラ</t>
    </rPh>
    <rPh sb="6" eb="8">
      <t>ダイニチ</t>
    </rPh>
    <rPh sb="8" eb="9">
      <t>モリ</t>
    </rPh>
    <rPh sb="9" eb="11">
      <t>イセキ</t>
    </rPh>
    <rPh sb="13" eb="15">
      <t>ヘイアン</t>
    </rPh>
    <rPh sb="15" eb="17">
      <t>ショキ</t>
    </rPh>
    <rPh sb="18" eb="19">
      <t>フル</t>
    </rPh>
    <rPh sb="19" eb="20">
      <t>カワラ</t>
    </rPh>
    <rPh sb="21" eb="23">
      <t>シュツド</t>
    </rPh>
    <phoneticPr fontId="2"/>
  </si>
  <si>
    <t>大日森遺跡</t>
    <rPh sb="2" eb="3">
      <t>モリ</t>
    </rPh>
    <phoneticPr fontId="2"/>
  </si>
  <si>
    <t>『鈴鹿関町史』下巻年表
『亀山市史』考古分野</t>
    <rPh sb="1" eb="3">
      <t>スズカ</t>
    </rPh>
    <rPh sb="3" eb="4">
      <t>セキ</t>
    </rPh>
    <rPh sb="4" eb="6">
      <t>チョウシ</t>
    </rPh>
    <rPh sb="7" eb="9">
      <t>ゲカン</t>
    </rPh>
    <rPh sb="9" eb="10">
      <t>ネン</t>
    </rPh>
    <rPh sb="10" eb="11">
      <t>ヒョウ</t>
    </rPh>
    <rPh sb="12" eb="22">
      <t>カ</t>
    </rPh>
    <phoneticPr fontId="2"/>
  </si>
  <si>
    <t>関小学校給食施設を整備し、完全給食実施</t>
    <rPh sb="0" eb="1">
      <t>セキ</t>
    </rPh>
    <rPh sb="1" eb="4">
      <t>ショウガッコウ</t>
    </rPh>
    <rPh sb="4" eb="6">
      <t>キュウショク</t>
    </rPh>
    <rPh sb="6" eb="8">
      <t>シセツ</t>
    </rPh>
    <rPh sb="9" eb="11">
      <t>セイビ</t>
    </rPh>
    <rPh sb="13" eb="15">
      <t>カンゼン</t>
    </rPh>
    <rPh sb="15" eb="17">
      <t>キュウショク</t>
    </rPh>
    <rPh sb="17" eb="19">
      <t>ジッシ</t>
    </rPh>
    <phoneticPr fontId="2"/>
  </si>
  <si>
    <t>関小学校</t>
    <rPh sb="0" eb="1">
      <t>セキ</t>
    </rPh>
    <rPh sb="1" eb="4">
      <t>ショウガッコウ</t>
    </rPh>
    <phoneticPr fontId="2"/>
  </si>
  <si>
    <t>学校のあゆみ／関小学校のれきし</t>
    <phoneticPr fontId="2"/>
  </si>
  <si>
    <t>鷲山中頭首工完成</t>
    <rPh sb="0" eb="2">
      <t>ワシヤマ</t>
    </rPh>
    <rPh sb="2" eb="3">
      <t>ナカ</t>
    </rPh>
    <rPh sb="3" eb="4">
      <t>カシラ</t>
    </rPh>
    <rPh sb="4" eb="5">
      <t>クビ</t>
    </rPh>
    <rPh sb="5" eb="6">
      <t>コウ</t>
    </rPh>
    <rPh sb="6" eb="8">
      <t>カンセイ</t>
    </rPh>
    <phoneticPr fontId="2"/>
  </si>
  <si>
    <t>関町鷲山</t>
    <rPh sb="0" eb="1">
      <t>セキ</t>
    </rPh>
    <rPh sb="1" eb="2">
      <t>チョウ</t>
    </rPh>
    <rPh sb="2" eb="3">
      <t>ワシ</t>
    </rPh>
    <rPh sb="3" eb="4">
      <t>ヤマ</t>
    </rPh>
    <phoneticPr fontId="2"/>
  </si>
  <si>
    <t>鷲山中頭首工</t>
    <rPh sb="5" eb="6">
      <t>コウ</t>
    </rPh>
    <phoneticPr fontId="2"/>
  </si>
  <si>
    <t>法安寺玄関に旧松屋本陣玄関を移築(旧小学校玄関）</t>
    <rPh sb="0" eb="1">
      <t>ホウ</t>
    </rPh>
    <rPh sb="1" eb="2">
      <t>アン</t>
    </rPh>
    <rPh sb="2" eb="3">
      <t>テラ</t>
    </rPh>
    <rPh sb="3" eb="5">
      <t>ゲンカン</t>
    </rPh>
    <rPh sb="6" eb="7">
      <t>キュウ</t>
    </rPh>
    <rPh sb="7" eb="8">
      <t>マツ</t>
    </rPh>
    <rPh sb="8" eb="9">
      <t>ヤ</t>
    </rPh>
    <rPh sb="9" eb="11">
      <t>ホンジン</t>
    </rPh>
    <rPh sb="11" eb="13">
      <t>ゲンカン</t>
    </rPh>
    <rPh sb="14" eb="16">
      <t>イチク</t>
    </rPh>
    <rPh sb="17" eb="18">
      <t>キュウ</t>
    </rPh>
    <rPh sb="18" eb="21">
      <t>ショウガッコウ</t>
    </rPh>
    <rPh sb="21" eb="23">
      <t>ゲンカン</t>
    </rPh>
    <phoneticPr fontId="2"/>
  </si>
  <si>
    <t>旧松屋本陣</t>
    <phoneticPr fontId="2"/>
  </si>
  <si>
    <t>むかしの道と交通／亀山の近世の道／本陣・脇本陣</t>
    <phoneticPr fontId="2"/>
  </si>
  <si>
    <t>新日米安全保障条約を結ぶ</t>
    <phoneticPr fontId="2"/>
  </si>
  <si>
    <t>昭和36</t>
    <phoneticPr fontId="2"/>
  </si>
  <si>
    <t>中庄町の昼生支所に昼生保育園開園</t>
    <rPh sb="0" eb="1">
      <t>ナカ</t>
    </rPh>
    <rPh sb="1" eb="2">
      <t>ショウ</t>
    </rPh>
    <rPh sb="2" eb="3">
      <t>マチ</t>
    </rPh>
    <rPh sb="4" eb="6">
      <t>ヒルオ</t>
    </rPh>
    <rPh sb="6" eb="8">
      <t>シショ</t>
    </rPh>
    <rPh sb="9" eb="11">
      <t>ヒルオ</t>
    </rPh>
    <rPh sb="11" eb="14">
      <t>ホイクエン</t>
    </rPh>
    <rPh sb="14" eb="16">
      <t>カイエン</t>
    </rPh>
    <phoneticPr fontId="2"/>
  </si>
  <si>
    <t>中庄町</t>
    <rPh sb="0" eb="1">
      <t>ナカ</t>
    </rPh>
    <rPh sb="1" eb="2">
      <t>ショウ</t>
    </rPh>
    <rPh sb="2" eb="3">
      <t>チョウ</t>
    </rPh>
    <phoneticPr fontId="2"/>
  </si>
  <si>
    <t>昼生保育園</t>
    <phoneticPr fontId="2"/>
  </si>
  <si>
    <t>中ノ川の中庄橋、下庄橋が完成</t>
    <rPh sb="0" eb="1">
      <t>ナカ</t>
    </rPh>
    <rPh sb="2" eb="3">
      <t>カワ</t>
    </rPh>
    <rPh sb="4" eb="5">
      <t>ナカ</t>
    </rPh>
    <rPh sb="5" eb="6">
      <t>ショウ</t>
    </rPh>
    <rPh sb="6" eb="7">
      <t>ハシ</t>
    </rPh>
    <rPh sb="8" eb="10">
      <t>シモノショウ</t>
    </rPh>
    <rPh sb="10" eb="11">
      <t>ハシ</t>
    </rPh>
    <rPh sb="12" eb="14">
      <t>カンセイ</t>
    </rPh>
    <phoneticPr fontId="2"/>
  </si>
  <si>
    <t>中庄町・下庄町</t>
    <rPh sb="0" eb="3">
      <t>ナカノショウチョウ</t>
    </rPh>
    <rPh sb="4" eb="7">
      <t>シモノショウチョウ</t>
    </rPh>
    <phoneticPr fontId="2"/>
  </si>
  <si>
    <t>中庄橋・下庄橋</t>
    <phoneticPr fontId="2"/>
  </si>
  <si>
    <t>亀山市・関町学校組合立西部中学校を解散する
西部中学校跡は関町立関中学校となる</t>
    <rPh sb="0" eb="3">
      <t>カメヤマシ</t>
    </rPh>
    <rPh sb="4" eb="5">
      <t>セキ</t>
    </rPh>
    <rPh sb="5" eb="6">
      <t>マチ</t>
    </rPh>
    <rPh sb="6" eb="8">
      <t>ガッコウ</t>
    </rPh>
    <rPh sb="8" eb="10">
      <t>クミアイ</t>
    </rPh>
    <rPh sb="10" eb="11">
      <t>リツ</t>
    </rPh>
    <rPh sb="11" eb="13">
      <t>セイブ</t>
    </rPh>
    <rPh sb="13" eb="16">
      <t>チュウガッコウ</t>
    </rPh>
    <rPh sb="17" eb="19">
      <t>カイサン</t>
    </rPh>
    <rPh sb="22" eb="24">
      <t>セイブ</t>
    </rPh>
    <rPh sb="24" eb="27">
      <t>チュウガッコウ</t>
    </rPh>
    <rPh sb="27" eb="28">
      <t>アト</t>
    </rPh>
    <rPh sb="29" eb="30">
      <t>セキ</t>
    </rPh>
    <rPh sb="30" eb="31">
      <t>マチ</t>
    </rPh>
    <rPh sb="31" eb="32">
      <t>リツ</t>
    </rPh>
    <rPh sb="32" eb="33">
      <t>セキ</t>
    </rPh>
    <rPh sb="33" eb="36">
      <t>チュウガッコウ</t>
    </rPh>
    <phoneticPr fontId="2"/>
  </si>
  <si>
    <t>関町立関中学校</t>
    <phoneticPr fontId="2"/>
  </si>
  <si>
    <t>学校のあゆみ／亀山中学校のれきし</t>
    <phoneticPr fontId="2"/>
  </si>
  <si>
    <t>『亀山のあゆみ』P.388・年表
『鈴鹿関町史』下巻年表
『亀山市史』歴史分野</t>
    <rPh sb="14" eb="16">
      <t>ネ</t>
    </rPh>
    <rPh sb="18" eb="20">
      <t>スズカ</t>
    </rPh>
    <rPh sb="20" eb="22">
      <t>セキチョウ</t>
    </rPh>
    <rPh sb="22" eb="23">
      <t>シ</t>
    </rPh>
    <rPh sb="24" eb="26">
      <t>ゲカン</t>
    </rPh>
    <rPh sb="26" eb="28">
      <t>ネンピョウ</t>
    </rPh>
    <rPh sb="30" eb="33">
      <t>カメヤマシ</t>
    </rPh>
    <rPh sb="33" eb="34">
      <t>シ</t>
    </rPh>
    <rPh sb="35" eb="37">
      <t>レキシ</t>
    </rPh>
    <rPh sb="37" eb="39">
      <t>ブンヤ</t>
    </rPh>
    <phoneticPr fontId="2"/>
  </si>
  <si>
    <t>亀山市紅茶振興５か年計画により１００ｈａの増殖完了</t>
    <rPh sb="0" eb="3">
      <t>カメヤマシ</t>
    </rPh>
    <rPh sb="3" eb="5">
      <t>コウチャ</t>
    </rPh>
    <rPh sb="5" eb="7">
      <t>シンコウ</t>
    </rPh>
    <rPh sb="9" eb="10">
      <t>ネン</t>
    </rPh>
    <rPh sb="10" eb="12">
      <t>ケイカク</t>
    </rPh>
    <rPh sb="21" eb="23">
      <t>ゾウショク</t>
    </rPh>
    <rPh sb="23" eb="25">
      <t>カンリョウ</t>
    </rPh>
    <phoneticPr fontId="2"/>
  </si>
  <si>
    <t>本町郵便局開局</t>
    <rPh sb="0" eb="2">
      <t>ホンマチ</t>
    </rPh>
    <rPh sb="2" eb="5">
      <t>ユウビンキョク</t>
    </rPh>
    <rPh sb="5" eb="7">
      <t>カイキョク</t>
    </rPh>
    <phoneticPr fontId="2"/>
  </si>
  <si>
    <t>本町</t>
    <phoneticPr fontId="2"/>
  </si>
  <si>
    <t>本町郵便局</t>
    <phoneticPr fontId="2"/>
  </si>
  <si>
    <t>市公文書が「縦書き」から「左横書き」に変わる</t>
    <rPh sb="0" eb="1">
      <t>シ</t>
    </rPh>
    <rPh sb="1" eb="4">
      <t>コウブンショ</t>
    </rPh>
    <rPh sb="6" eb="7">
      <t>タテ</t>
    </rPh>
    <rPh sb="7" eb="8">
      <t>カ</t>
    </rPh>
    <rPh sb="13" eb="14">
      <t>ヒダリ</t>
    </rPh>
    <rPh sb="14" eb="16">
      <t>ヨコガ</t>
    </rPh>
    <rPh sb="19" eb="20">
      <t>カ</t>
    </rPh>
    <phoneticPr fontId="2"/>
  </si>
  <si>
    <t>津地方法務局亀山出張所が南崎町の亀山実業学校跡地に新築移転</t>
    <rPh sb="0" eb="1">
      <t>ツ</t>
    </rPh>
    <rPh sb="1" eb="3">
      <t>チホウ</t>
    </rPh>
    <rPh sb="3" eb="6">
      <t>ホウムキョク</t>
    </rPh>
    <rPh sb="6" eb="8">
      <t>カメヤマ</t>
    </rPh>
    <rPh sb="8" eb="10">
      <t>シュッチョウ</t>
    </rPh>
    <rPh sb="10" eb="11">
      <t>ショ</t>
    </rPh>
    <rPh sb="12" eb="13">
      <t>ミナミ</t>
    </rPh>
    <rPh sb="13" eb="14">
      <t>ザキ</t>
    </rPh>
    <rPh sb="14" eb="15">
      <t>マチ</t>
    </rPh>
    <rPh sb="16" eb="18">
      <t>カメヤマ</t>
    </rPh>
    <rPh sb="18" eb="20">
      <t>ジツギョウ</t>
    </rPh>
    <rPh sb="20" eb="22">
      <t>ガッコウ</t>
    </rPh>
    <rPh sb="22" eb="24">
      <t>アトチ</t>
    </rPh>
    <rPh sb="25" eb="27">
      <t>シンチク</t>
    </rPh>
    <rPh sb="27" eb="29">
      <t>イテン</t>
    </rPh>
    <phoneticPr fontId="2"/>
  </si>
  <si>
    <t>南崎町</t>
    <phoneticPr fontId="2"/>
  </si>
  <si>
    <t>津地方法務局亀山出張所</t>
    <phoneticPr fontId="2"/>
  </si>
  <si>
    <t>野登小学校が完全給食を実施</t>
    <rPh sb="0" eb="2">
      <t>ノノボリ</t>
    </rPh>
    <rPh sb="2" eb="5">
      <t>ショウガッコウ</t>
    </rPh>
    <rPh sb="6" eb="8">
      <t>カンゼン</t>
    </rPh>
    <rPh sb="8" eb="10">
      <t>キュウショク</t>
    </rPh>
    <rPh sb="11" eb="13">
      <t>ジッシ</t>
    </rPh>
    <phoneticPr fontId="2"/>
  </si>
  <si>
    <t>野登小学校</t>
    <phoneticPr fontId="2"/>
  </si>
  <si>
    <t>学校のあゆみ／野登小学校のれきし</t>
    <rPh sb="7" eb="8">
      <t>ノ</t>
    </rPh>
    <rPh sb="8" eb="9">
      <t>ノボ</t>
    </rPh>
    <phoneticPr fontId="2"/>
  </si>
  <si>
    <t>『亀山のあゆみ』P.406・年表
『鈴鹿関町史』下巻年表
『亀山市史』歴史分野</t>
    <rPh sb="14" eb="16">
      <t>ネ</t>
    </rPh>
    <rPh sb="18" eb="20">
      <t>スズカ</t>
    </rPh>
    <rPh sb="20" eb="22">
      <t>セキチョウ</t>
    </rPh>
    <rPh sb="22" eb="23">
      <t>シ</t>
    </rPh>
    <rPh sb="24" eb="26">
      <t>ゲカン</t>
    </rPh>
    <rPh sb="26" eb="28">
      <t>ネンピョウ</t>
    </rPh>
    <rPh sb="30" eb="33">
      <t>カメヤマシ</t>
    </rPh>
    <rPh sb="33" eb="34">
      <t>シ</t>
    </rPh>
    <rPh sb="35" eb="37">
      <t>レキシ</t>
    </rPh>
    <rPh sb="37" eb="39">
      <t>ブンヤ</t>
    </rPh>
    <phoneticPr fontId="2"/>
  </si>
  <si>
    <t>南崎の社会館母子寮全焼
被災の21世帯60人が善導寺・本久寺に一時避難後、避病院（野村町松本）・校長校舎（本丸）・本因寺の3ヵ所に分散し仮住まい、その後市営住宅や借家に移住
焼け残った授産場は7月末に閉鎖</t>
    <rPh sb="3" eb="5">
      <t>シャカイ</t>
    </rPh>
    <rPh sb="5" eb="6">
      <t>カン</t>
    </rPh>
    <rPh sb="6" eb="8">
      <t>ボシ</t>
    </rPh>
    <rPh sb="8" eb="9">
      <t>リョウ</t>
    </rPh>
    <rPh sb="9" eb="11">
      <t>ゼンショウ</t>
    </rPh>
    <rPh sb="12" eb="14">
      <t>ヒサイ</t>
    </rPh>
    <rPh sb="17" eb="19">
      <t>セタイ</t>
    </rPh>
    <rPh sb="21" eb="22">
      <t>ニン</t>
    </rPh>
    <rPh sb="23" eb="24">
      <t>ゼン</t>
    </rPh>
    <rPh sb="24" eb="25">
      <t>ミチビ</t>
    </rPh>
    <rPh sb="25" eb="26">
      <t>テラ</t>
    </rPh>
    <rPh sb="27" eb="28">
      <t>ホン</t>
    </rPh>
    <rPh sb="28" eb="29">
      <t>ヒサ</t>
    </rPh>
    <rPh sb="29" eb="30">
      <t>テラ</t>
    </rPh>
    <rPh sb="31" eb="33">
      <t>イチジ</t>
    </rPh>
    <rPh sb="33" eb="35">
      <t>ヒナン</t>
    </rPh>
    <rPh sb="35" eb="36">
      <t>ノチ</t>
    </rPh>
    <rPh sb="37" eb="38">
      <t>ヒ</t>
    </rPh>
    <rPh sb="38" eb="40">
      <t>ビョウイン</t>
    </rPh>
    <rPh sb="41" eb="43">
      <t>ノムラ</t>
    </rPh>
    <rPh sb="43" eb="44">
      <t>マチ</t>
    </rPh>
    <rPh sb="44" eb="46">
      <t>マツモト</t>
    </rPh>
    <rPh sb="48" eb="50">
      <t>コウチョウ</t>
    </rPh>
    <rPh sb="50" eb="52">
      <t>コウシャ</t>
    </rPh>
    <rPh sb="53" eb="55">
      <t>ホンマル</t>
    </rPh>
    <rPh sb="57" eb="58">
      <t>ホン</t>
    </rPh>
    <rPh sb="58" eb="59">
      <t>イン</t>
    </rPh>
    <rPh sb="59" eb="60">
      <t>テラ</t>
    </rPh>
    <rPh sb="63" eb="64">
      <t>ショ</t>
    </rPh>
    <rPh sb="65" eb="67">
      <t>ブンサン</t>
    </rPh>
    <rPh sb="68" eb="69">
      <t>カリ</t>
    </rPh>
    <rPh sb="69" eb="70">
      <t>ス</t>
    </rPh>
    <rPh sb="75" eb="76">
      <t>ゴ</t>
    </rPh>
    <rPh sb="76" eb="78">
      <t>シエイ</t>
    </rPh>
    <rPh sb="78" eb="80">
      <t>ジュウタク</t>
    </rPh>
    <rPh sb="81" eb="83">
      <t>シャクヤ</t>
    </rPh>
    <rPh sb="84" eb="86">
      <t>イジュウ</t>
    </rPh>
    <rPh sb="87" eb="88">
      <t>ヤ</t>
    </rPh>
    <rPh sb="89" eb="90">
      <t>ノコ</t>
    </rPh>
    <rPh sb="92" eb="94">
      <t>ジュサン</t>
    </rPh>
    <rPh sb="94" eb="95">
      <t>バ</t>
    </rPh>
    <rPh sb="97" eb="98">
      <t>ガツ</t>
    </rPh>
    <rPh sb="98" eb="99">
      <t>スエ</t>
    </rPh>
    <rPh sb="100" eb="102">
      <t>ヘイサ</t>
    </rPh>
    <phoneticPr fontId="2"/>
  </si>
  <si>
    <t>社会館母子寮</t>
  </si>
  <si>
    <t>集中豪雨で白鳥橋など流出
家屋半壊３戸、床上浸水65戸、床下浸水268戸、田畑流失埋没４６町５畝</t>
    <rPh sb="0" eb="2">
      <t>シュウチュウ</t>
    </rPh>
    <rPh sb="2" eb="4">
      <t>ゴウウ</t>
    </rPh>
    <rPh sb="5" eb="7">
      <t>シラトリ</t>
    </rPh>
    <rPh sb="7" eb="8">
      <t>ハシ</t>
    </rPh>
    <rPh sb="10" eb="12">
      <t>リュウシュツ</t>
    </rPh>
    <rPh sb="13" eb="15">
      <t>カオク</t>
    </rPh>
    <rPh sb="15" eb="17">
      <t>ハンカイ</t>
    </rPh>
    <rPh sb="18" eb="19">
      <t>コ</t>
    </rPh>
    <rPh sb="20" eb="22">
      <t>ユカウエ</t>
    </rPh>
    <rPh sb="22" eb="24">
      <t>シンスイ</t>
    </rPh>
    <rPh sb="26" eb="27">
      <t>コ</t>
    </rPh>
    <rPh sb="28" eb="30">
      <t>ユカシタ</t>
    </rPh>
    <rPh sb="30" eb="32">
      <t>シンスイ</t>
    </rPh>
    <rPh sb="35" eb="36">
      <t>コ</t>
    </rPh>
    <rPh sb="37" eb="39">
      <t>タハタ</t>
    </rPh>
    <rPh sb="39" eb="41">
      <t>リュウシツ</t>
    </rPh>
    <rPh sb="41" eb="43">
      <t>マイボツ</t>
    </rPh>
    <rPh sb="45" eb="46">
      <t>マチ</t>
    </rPh>
    <rPh sb="47" eb="48">
      <t>セ</t>
    </rPh>
    <phoneticPr fontId="2"/>
  </si>
  <si>
    <t xml:space="preserve">『亀山のあゆみ』年表
『亀山市史』歴史分野
</t>
    <rPh sb="8" eb="10">
      <t>ネ</t>
    </rPh>
    <rPh sb="12" eb="15">
      <t>カメヤマシ</t>
    </rPh>
    <rPh sb="15" eb="16">
      <t>シ</t>
    </rPh>
    <rPh sb="17" eb="19">
      <t>レキシ</t>
    </rPh>
    <rPh sb="19" eb="21">
      <t>ブンヤ</t>
    </rPh>
    <phoneticPr fontId="2"/>
  </si>
  <si>
    <t>亀山駅前広場拡張計画の一環で、駅前西丸線（駅から１号）完成</t>
    <rPh sb="0" eb="2">
      <t>カメヤマ</t>
    </rPh>
    <rPh sb="2" eb="4">
      <t>エキマエ</t>
    </rPh>
    <rPh sb="4" eb="6">
      <t>ヒロバ</t>
    </rPh>
    <rPh sb="6" eb="8">
      <t>カクチョウ</t>
    </rPh>
    <rPh sb="8" eb="10">
      <t>ケイカク</t>
    </rPh>
    <rPh sb="11" eb="13">
      <t>イッカン</t>
    </rPh>
    <rPh sb="15" eb="16">
      <t>エキ</t>
    </rPh>
    <rPh sb="16" eb="17">
      <t>マエ</t>
    </rPh>
    <rPh sb="17" eb="19">
      <t>ニシマル</t>
    </rPh>
    <rPh sb="19" eb="20">
      <t>セン</t>
    </rPh>
    <rPh sb="21" eb="22">
      <t>エキ</t>
    </rPh>
    <rPh sb="25" eb="26">
      <t>ゴウ</t>
    </rPh>
    <rPh sb="27" eb="29">
      <t>カンセイ</t>
    </rPh>
    <phoneticPr fontId="2"/>
  </si>
  <si>
    <t>駅前西丸線</t>
    <phoneticPr fontId="2"/>
  </si>
  <si>
    <t>第二室戸台風で家屋に被害が出る
家屋半壊19戸、非住家全半壊50戸、橋被害10ヶ所</t>
    <rPh sb="0" eb="2">
      <t>ダイニ</t>
    </rPh>
    <rPh sb="2" eb="4">
      <t>ムロト</t>
    </rPh>
    <rPh sb="4" eb="6">
      <t>タイフウ</t>
    </rPh>
    <rPh sb="7" eb="9">
      <t>カオク</t>
    </rPh>
    <rPh sb="10" eb="12">
      <t>ヒガイ</t>
    </rPh>
    <rPh sb="13" eb="14">
      <t>デ</t>
    </rPh>
    <rPh sb="16" eb="18">
      <t>カオク</t>
    </rPh>
    <rPh sb="18" eb="20">
      <t>ハンカイ</t>
    </rPh>
    <rPh sb="22" eb="23">
      <t>コ</t>
    </rPh>
    <rPh sb="24" eb="25">
      <t>ヒ</t>
    </rPh>
    <rPh sb="25" eb="26">
      <t>ス</t>
    </rPh>
    <rPh sb="26" eb="27">
      <t>イエ</t>
    </rPh>
    <rPh sb="27" eb="28">
      <t>ゼン</t>
    </rPh>
    <rPh sb="28" eb="30">
      <t>ハンカイ</t>
    </rPh>
    <rPh sb="32" eb="33">
      <t>コ</t>
    </rPh>
    <rPh sb="34" eb="35">
      <t>ハシ</t>
    </rPh>
    <rPh sb="35" eb="37">
      <t>ヒガイ</t>
    </rPh>
    <rPh sb="40" eb="41">
      <t>ショ</t>
    </rPh>
    <phoneticPr fontId="2"/>
  </si>
  <si>
    <t>『亀山のあゆみ』年表
『亀山市史』歴史分野</t>
    <rPh sb="8" eb="10">
      <t>ネ</t>
    </rPh>
    <rPh sb="12" eb="15">
      <t>カメヤマシ</t>
    </rPh>
    <rPh sb="15" eb="16">
      <t>シ</t>
    </rPh>
    <rPh sb="17" eb="19">
      <t>レキシ</t>
    </rPh>
    <rPh sb="19" eb="21">
      <t>ブンヤ</t>
    </rPh>
    <phoneticPr fontId="2"/>
  </si>
  <si>
    <t>三重県農産種苗共同組合（西町）結成</t>
    <rPh sb="0" eb="3">
      <t>ミエケン</t>
    </rPh>
    <rPh sb="3" eb="4">
      <t>ノウ</t>
    </rPh>
    <rPh sb="4" eb="5">
      <t>サン</t>
    </rPh>
    <rPh sb="5" eb="7">
      <t>シュビョウ</t>
    </rPh>
    <rPh sb="7" eb="9">
      <t>キョウドウ</t>
    </rPh>
    <rPh sb="9" eb="11">
      <t>クミアイ</t>
    </rPh>
    <rPh sb="12" eb="13">
      <t>ニシ</t>
    </rPh>
    <rPh sb="13" eb="14">
      <t>マチ</t>
    </rPh>
    <rPh sb="15" eb="17">
      <t>ケッセイ</t>
    </rPh>
    <phoneticPr fontId="2"/>
  </si>
  <si>
    <t>三重県農産種苗共同組合</t>
    <phoneticPr fontId="2"/>
  </si>
  <si>
    <t>亀山中学校野登分校廃止、翌年３月末まで中部中学校の分校場とする</t>
    <rPh sb="0" eb="2">
      <t>カメヤマ</t>
    </rPh>
    <rPh sb="2" eb="5">
      <t>チュウガッコウ</t>
    </rPh>
    <rPh sb="5" eb="7">
      <t>ノノボリ</t>
    </rPh>
    <rPh sb="7" eb="9">
      <t>ブンコウ</t>
    </rPh>
    <rPh sb="9" eb="11">
      <t>ハイシ</t>
    </rPh>
    <rPh sb="12" eb="14">
      <t>ヨクネン</t>
    </rPh>
    <rPh sb="15" eb="16">
      <t>ガツ</t>
    </rPh>
    <rPh sb="16" eb="17">
      <t>スエ</t>
    </rPh>
    <rPh sb="19" eb="21">
      <t>チュウブ</t>
    </rPh>
    <rPh sb="21" eb="24">
      <t>チュウガッコウ</t>
    </rPh>
    <rPh sb="25" eb="27">
      <t>ブンコウ</t>
    </rPh>
    <rPh sb="27" eb="28">
      <t>バ</t>
    </rPh>
    <phoneticPr fontId="2"/>
  </si>
  <si>
    <t>安坂山町</t>
    <rPh sb="0" eb="1">
      <t>アン</t>
    </rPh>
    <rPh sb="1" eb="2">
      <t>サカ</t>
    </rPh>
    <rPh sb="2" eb="4">
      <t>ヤマチョウ</t>
    </rPh>
    <phoneticPr fontId="2"/>
  </si>
  <si>
    <t>亀山中学校野登分校</t>
    <phoneticPr fontId="2"/>
  </si>
  <si>
    <t>『亀山のあゆみ』P.413・年表
『亀山市史』歴史分野</t>
    <rPh sb="14" eb="16">
      <t>ネ</t>
    </rPh>
    <rPh sb="18" eb="21">
      <t>カメヤマシ</t>
    </rPh>
    <rPh sb="21" eb="22">
      <t>シ</t>
    </rPh>
    <rPh sb="23" eb="25">
      <t>レキシ</t>
    </rPh>
    <rPh sb="25" eb="27">
      <t>ブンヤ</t>
    </rPh>
    <phoneticPr fontId="2"/>
  </si>
  <si>
    <t>関町広報配布開始</t>
    <rPh sb="0" eb="2">
      <t>セキチョウ</t>
    </rPh>
    <rPh sb="2" eb="4">
      <t>コウホウ</t>
    </rPh>
    <rPh sb="4" eb="6">
      <t>ハイフ</t>
    </rPh>
    <rPh sb="6" eb="8">
      <t>カイシ</t>
    </rPh>
    <phoneticPr fontId="2"/>
  </si>
  <si>
    <t>明農業協同組合の萩原・福徳両地区の組合員が関農業協同組合に加入する</t>
    <rPh sb="1" eb="3">
      <t>ノウギョウ</t>
    </rPh>
    <rPh sb="3" eb="5">
      <t>キョウドウ</t>
    </rPh>
    <rPh sb="5" eb="7">
      <t>クミアイ</t>
    </rPh>
    <rPh sb="8" eb="10">
      <t>ハギワラ</t>
    </rPh>
    <rPh sb="11" eb="13">
      <t>フクトク</t>
    </rPh>
    <rPh sb="13" eb="16">
      <t>リョウチク</t>
    </rPh>
    <rPh sb="17" eb="20">
      <t>クミアイイン</t>
    </rPh>
    <rPh sb="21" eb="22">
      <t>セキ</t>
    </rPh>
    <rPh sb="22" eb="24">
      <t>ノウギョウ</t>
    </rPh>
    <rPh sb="24" eb="26">
      <t>キョウドウ</t>
    </rPh>
    <rPh sb="26" eb="28">
      <t>クミアイ</t>
    </rPh>
    <rPh sb="29" eb="31">
      <t>カニュウ</t>
    </rPh>
    <phoneticPr fontId="2"/>
  </si>
  <si>
    <t>昭和36</t>
    <phoneticPr fontId="2"/>
  </si>
  <si>
    <t>向井小神武頭首工完成</t>
    <rPh sb="0" eb="2">
      <t>ムカイ</t>
    </rPh>
    <rPh sb="2" eb="3">
      <t>ショウ</t>
    </rPh>
    <rPh sb="3" eb="5">
      <t>ジンム</t>
    </rPh>
    <rPh sb="5" eb="6">
      <t>カシラ</t>
    </rPh>
    <rPh sb="6" eb="7">
      <t>クビ</t>
    </rPh>
    <rPh sb="7" eb="8">
      <t>コウ</t>
    </rPh>
    <rPh sb="8" eb="10">
      <t>カンセイ</t>
    </rPh>
    <phoneticPr fontId="2"/>
  </si>
  <si>
    <t>加太向井</t>
    <rPh sb="0" eb="2">
      <t>カブト</t>
    </rPh>
    <rPh sb="2" eb="4">
      <t>ムカイ</t>
    </rPh>
    <phoneticPr fontId="2"/>
  </si>
  <si>
    <t>向井小神武頭首工</t>
    <rPh sb="7" eb="8">
      <t>コウ</t>
    </rPh>
    <phoneticPr fontId="2"/>
  </si>
  <si>
    <t>昭和36</t>
    <phoneticPr fontId="2"/>
  </si>
  <si>
    <t>新法による関町商工会発足</t>
    <rPh sb="0" eb="1">
      <t>シン</t>
    </rPh>
    <rPh sb="1" eb="2">
      <t>ホウ</t>
    </rPh>
    <rPh sb="5" eb="7">
      <t>セキチョウ</t>
    </rPh>
    <rPh sb="7" eb="10">
      <t>ショウコウカイ</t>
    </rPh>
    <rPh sb="10" eb="12">
      <t>ホッソク</t>
    </rPh>
    <phoneticPr fontId="2"/>
  </si>
  <si>
    <t>新農山漁村建設促進事業として沓掛茶共同加工所を竣工する</t>
    <rPh sb="0" eb="1">
      <t>シン</t>
    </rPh>
    <rPh sb="1" eb="5">
      <t>ノウサンギョソン</t>
    </rPh>
    <rPh sb="3" eb="5">
      <t>ギョソン</t>
    </rPh>
    <rPh sb="5" eb="7">
      <t>ケンセツ</t>
    </rPh>
    <rPh sb="7" eb="9">
      <t>ソクシン</t>
    </rPh>
    <rPh sb="9" eb="11">
      <t>ジギョウ</t>
    </rPh>
    <rPh sb="14" eb="16">
      <t>クツカケ</t>
    </rPh>
    <rPh sb="16" eb="17">
      <t>チャ</t>
    </rPh>
    <rPh sb="17" eb="19">
      <t>キョウドウ</t>
    </rPh>
    <rPh sb="19" eb="21">
      <t>カコウ</t>
    </rPh>
    <rPh sb="21" eb="22">
      <t>ショ</t>
    </rPh>
    <rPh sb="23" eb="25">
      <t>シュンコウ</t>
    </rPh>
    <phoneticPr fontId="2"/>
  </si>
  <si>
    <t>関町沓掛</t>
    <rPh sb="0" eb="2">
      <t>セキチョウ</t>
    </rPh>
    <rPh sb="2" eb="4">
      <t>クツカケ</t>
    </rPh>
    <phoneticPr fontId="2"/>
  </si>
  <si>
    <t>沓掛茶共同加工所</t>
  </si>
  <si>
    <t>南在家橋、永久橋を完成</t>
    <rPh sb="0" eb="1">
      <t>ミナミ</t>
    </rPh>
    <rPh sb="1" eb="3">
      <t>ザイケ</t>
    </rPh>
    <rPh sb="3" eb="4">
      <t>ハシ</t>
    </rPh>
    <rPh sb="5" eb="7">
      <t>エイキュウ</t>
    </rPh>
    <rPh sb="7" eb="8">
      <t>ハシ</t>
    </rPh>
    <rPh sb="9" eb="11">
      <t>カンセイ</t>
    </rPh>
    <phoneticPr fontId="2"/>
  </si>
  <si>
    <t>加太中在家</t>
    <rPh sb="0" eb="2">
      <t>カブト</t>
    </rPh>
    <rPh sb="2" eb="3">
      <t>ナカ</t>
    </rPh>
    <phoneticPr fontId="2"/>
  </si>
  <si>
    <t>南在家橋</t>
    <phoneticPr fontId="2"/>
  </si>
  <si>
    <t>町道関本線舗装完成（第１期）</t>
    <rPh sb="0" eb="1">
      <t>マチ</t>
    </rPh>
    <rPh sb="1" eb="2">
      <t>ミチ</t>
    </rPh>
    <rPh sb="2" eb="3">
      <t>セキ</t>
    </rPh>
    <rPh sb="3" eb="5">
      <t>ホンセン</t>
    </rPh>
    <rPh sb="5" eb="7">
      <t>ホソウ</t>
    </rPh>
    <rPh sb="7" eb="9">
      <t>カンセイ</t>
    </rPh>
    <rPh sb="10" eb="11">
      <t>ダイ</t>
    </rPh>
    <rPh sb="12" eb="13">
      <t>キ</t>
    </rPh>
    <phoneticPr fontId="2"/>
  </si>
  <si>
    <t>金剛頭首工完成</t>
    <rPh sb="0" eb="2">
      <t>コンゴウ</t>
    </rPh>
    <rPh sb="2" eb="3">
      <t>カシラ</t>
    </rPh>
    <rPh sb="3" eb="4">
      <t>クビ</t>
    </rPh>
    <rPh sb="4" eb="5">
      <t>コウ</t>
    </rPh>
    <rPh sb="5" eb="7">
      <t>カンセイ</t>
    </rPh>
    <phoneticPr fontId="2"/>
  </si>
  <si>
    <t>金剛頭首工</t>
    <phoneticPr fontId="2"/>
  </si>
  <si>
    <r>
      <t>昭和3</t>
    </r>
    <r>
      <rPr>
        <sz val="11"/>
        <rFont val="ＭＳ Ｐゴシック"/>
        <family val="3"/>
        <charset val="128"/>
      </rPr>
      <t>7</t>
    </r>
    <phoneticPr fontId="2"/>
  </si>
  <si>
    <t>昼生簡易水道が水道料の計算にメーター制を導入</t>
    <rPh sb="0" eb="2">
      <t>ヒルオ</t>
    </rPh>
    <rPh sb="2" eb="4">
      <t>カンイ</t>
    </rPh>
    <rPh sb="4" eb="6">
      <t>スイドウ</t>
    </rPh>
    <rPh sb="7" eb="9">
      <t>スイドウ</t>
    </rPh>
    <rPh sb="9" eb="10">
      <t>リョウ</t>
    </rPh>
    <rPh sb="11" eb="12">
      <t>ケイ</t>
    </rPh>
    <rPh sb="18" eb="19">
      <t>セイ</t>
    </rPh>
    <rPh sb="20" eb="22">
      <t>ドウニュウ</t>
    </rPh>
    <phoneticPr fontId="2"/>
  </si>
  <si>
    <t>昭和37</t>
    <phoneticPr fontId="2"/>
  </si>
  <si>
    <t>中部中学校野登分校を廃止し、分校生徒は本校へ転校する</t>
    <rPh sb="0" eb="2">
      <t>チュウブ</t>
    </rPh>
    <rPh sb="2" eb="5">
      <t>チュウガッコウ</t>
    </rPh>
    <rPh sb="5" eb="7">
      <t>ノノボリ</t>
    </rPh>
    <rPh sb="7" eb="9">
      <t>ブンコウ</t>
    </rPh>
    <rPh sb="10" eb="12">
      <t>ハイシ</t>
    </rPh>
    <rPh sb="14" eb="16">
      <t>ブンコウ</t>
    </rPh>
    <rPh sb="16" eb="18">
      <t>セイト</t>
    </rPh>
    <rPh sb="19" eb="21">
      <t>ホンコウ</t>
    </rPh>
    <rPh sb="22" eb="24">
      <t>テンコウ</t>
    </rPh>
    <phoneticPr fontId="2"/>
  </si>
  <si>
    <t>中部中学校野登分校</t>
    <phoneticPr fontId="2"/>
  </si>
  <si>
    <t>学校のあゆみ／中部中学校のれきし</t>
    <phoneticPr fontId="2"/>
  </si>
  <si>
    <t>『亀山のあゆみ』P.415・年表</t>
    <rPh sb="14" eb="16">
      <t>ネ</t>
    </rPh>
    <phoneticPr fontId="2"/>
  </si>
  <si>
    <t>元合生中学校臨時授業所の残留生徒、亀山中学校に転入する</t>
    <rPh sb="0" eb="1">
      <t>モト</t>
    </rPh>
    <rPh sb="1" eb="3">
      <t>アイオイ</t>
    </rPh>
    <rPh sb="3" eb="6">
      <t>チュウガッコウ</t>
    </rPh>
    <rPh sb="6" eb="8">
      <t>リンジ</t>
    </rPh>
    <rPh sb="8" eb="10">
      <t>ジュギョウ</t>
    </rPh>
    <rPh sb="10" eb="11">
      <t>ショ</t>
    </rPh>
    <rPh sb="12" eb="14">
      <t>ザンリュウ</t>
    </rPh>
    <rPh sb="14" eb="16">
      <t>セイト</t>
    </rPh>
    <rPh sb="17" eb="19">
      <t>カメヤマ</t>
    </rPh>
    <rPh sb="19" eb="22">
      <t>チュウガッコウ</t>
    </rPh>
    <rPh sb="23" eb="25">
      <t>テンニュウ</t>
    </rPh>
    <phoneticPr fontId="2"/>
  </si>
  <si>
    <t>合生中学校臨時授業所</t>
    <phoneticPr fontId="2"/>
  </si>
  <si>
    <t>『亀山のあゆみ』P.387・年表
『亀山市史』歴史分野</t>
    <rPh sb="14" eb="16">
      <t>ネ</t>
    </rPh>
    <rPh sb="18" eb="21">
      <t>カメヤマシ</t>
    </rPh>
    <rPh sb="21" eb="22">
      <t>シ</t>
    </rPh>
    <rPh sb="23" eb="25">
      <t>レキシ</t>
    </rPh>
    <rPh sb="25" eb="27">
      <t>ブンヤ</t>
    </rPh>
    <phoneticPr fontId="2"/>
  </si>
  <si>
    <t>第一愛護園が善導寺から南崎に移転する</t>
    <rPh sb="0" eb="2">
      <t>ダイイチ</t>
    </rPh>
    <rPh sb="2" eb="3">
      <t>アイ</t>
    </rPh>
    <rPh sb="3" eb="4">
      <t>マモル</t>
    </rPh>
    <rPh sb="4" eb="5">
      <t>エン</t>
    </rPh>
    <rPh sb="6" eb="7">
      <t>ゼン</t>
    </rPh>
    <rPh sb="7" eb="8">
      <t>ミチビ</t>
    </rPh>
    <rPh sb="8" eb="9">
      <t>テラ</t>
    </rPh>
    <rPh sb="11" eb="12">
      <t>ミナミ</t>
    </rPh>
    <rPh sb="12" eb="13">
      <t>ザキ</t>
    </rPh>
    <rPh sb="14" eb="16">
      <t>イテン</t>
    </rPh>
    <phoneticPr fontId="2"/>
  </si>
  <si>
    <t>第一愛護園</t>
    <phoneticPr fontId="2"/>
  </si>
  <si>
    <t>日本の歴史の中の亀山／現代の亀山／教育と医療・福祉／保育園</t>
  </si>
  <si>
    <t>『亀山のあゆみ』P.360・年表</t>
    <rPh sb="14" eb="16">
      <t>ネ</t>
    </rPh>
    <phoneticPr fontId="2"/>
  </si>
  <si>
    <t>井尻町に亀山自動車学校開校</t>
    <rPh sb="0" eb="3">
      <t>イジリチョウ</t>
    </rPh>
    <rPh sb="4" eb="6">
      <t>カメヤマ</t>
    </rPh>
    <rPh sb="6" eb="9">
      <t>ジドウシャ</t>
    </rPh>
    <rPh sb="9" eb="11">
      <t>ガッコウ</t>
    </rPh>
    <rPh sb="11" eb="13">
      <t>カイコウ</t>
    </rPh>
    <phoneticPr fontId="2"/>
  </si>
  <si>
    <t>井尻町</t>
    <phoneticPr fontId="2"/>
  </si>
  <si>
    <t>亀山自動車学校</t>
    <phoneticPr fontId="2"/>
  </si>
  <si>
    <t>亀山青年会議所設立</t>
    <rPh sb="0" eb="2">
      <t>カメヤマ</t>
    </rPh>
    <rPh sb="2" eb="4">
      <t>セイネン</t>
    </rPh>
    <rPh sb="4" eb="7">
      <t>カイギショ</t>
    </rPh>
    <rPh sb="7" eb="9">
      <t>セツリツ</t>
    </rPh>
    <phoneticPr fontId="2"/>
  </si>
  <si>
    <t>川崎地区簡易水道完成</t>
    <rPh sb="0" eb="2">
      <t>カワサキ</t>
    </rPh>
    <rPh sb="2" eb="4">
      <t>チク</t>
    </rPh>
    <rPh sb="4" eb="6">
      <t>カンイ</t>
    </rPh>
    <rPh sb="6" eb="8">
      <t>スイドウ</t>
    </rPh>
    <rPh sb="8" eb="10">
      <t>カンセイ</t>
    </rPh>
    <phoneticPr fontId="2"/>
  </si>
  <si>
    <t>川崎地区簡易水道</t>
    <phoneticPr fontId="2"/>
  </si>
  <si>
    <t>上水道建設計画始まる</t>
    <rPh sb="0" eb="1">
      <t>ウエ</t>
    </rPh>
    <rPh sb="1" eb="3">
      <t>スイドウ</t>
    </rPh>
    <rPh sb="3" eb="5">
      <t>ケンセツ</t>
    </rPh>
    <rPh sb="5" eb="7">
      <t>ケイカク</t>
    </rPh>
    <rPh sb="7" eb="8">
      <t>ハジ</t>
    </rPh>
    <phoneticPr fontId="2"/>
  </si>
  <si>
    <t>関中学校加太分校を廃止し、本校へ通学となる</t>
    <rPh sb="0" eb="1">
      <t>セキ</t>
    </rPh>
    <rPh sb="1" eb="4">
      <t>チュウガッコウ</t>
    </rPh>
    <rPh sb="4" eb="6">
      <t>カブト</t>
    </rPh>
    <rPh sb="6" eb="8">
      <t>ブンコウ</t>
    </rPh>
    <rPh sb="9" eb="11">
      <t>ハイシ</t>
    </rPh>
    <rPh sb="13" eb="15">
      <t>ホンコウ</t>
    </rPh>
    <rPh sb="16" eb="18">
      <t>ツウガク</t>
    </rPh>
    <phoneticPr fontId="2"/>
  </si>
  <si>
    <t>関町板屋</t>
    <rPh sb="0" eb="1">
      <t>セキ</t>
    </rPh>
    <rPh sb="1" eb="2">
      <t>チョウ</t>
    </rPh>
    <rPh sb="2" eb="4">
      <t>イタヤ</t>
    </rPh>
    <phoneticPr fontId="2"/>
  </si>
  <si>
    <t>関中学校加太分校</t>
    <phoneticPr fontId="2"/>
  </si>
  <si>
    <t>昭和37</t>
    <phoneticPr fontId="2"/>
  </si>
  <si>
    <t>従来の関町防犯委員会を発展的に解消し、自治会を主体とした関町防犯協会発足</t>
    <rPh sb="0" eb="2">
      <t>ジュウライ</t>
    </rPh>
    <rPh sb="3" eb="5">
      <t>セキチョウ</t>
    </rPh>
    <rPh sb="5" eb="7">
      <t>ボウハン</t>
    </rPh>
    <rPh sb="7" eb="8">
      <t>イ</t>
    </rPh>
    <rPh sb="8" eb="9">
      <t>イン</t>
    </rPh>
    <rPh sb="9" eb="10">
      <t>カイ</t>
    </rPh>
    <rPh sb="11" eb="14">
      <t>ハッテンテキ</t>
    </rPh>
    <rPh sb="15" eb="17">
      <t>カイショウ</t>
    </rPh>
    <rPh sb="19" eb="22">
      <t>ジチカイ</t>
    </rPh>
    <rPh sb="23" eb="25">
      <t>シュタイ</t>
    </rPh>
    <rPh sb="28" eb="30">
      <t>セキチョウ</t>
    </rPh>
    <rPh sb="30" eb="32">
      <t>ボウハン</t>
    </rPh>
    <rPh sb="32" eb="34">
      <t>キョウカイ</t>
    </rPh>
    <rPh sb="34" eb="36">
      <t>ホッソク</t>
    </rPh>
    <phoneticPr fontId="2"/>
  </si>
  <si>
    <t>関町議会事務局設置</t>
    <rPh sb="0" eb="2">
      <t>セキチョウ</t>
    </rPh>
    <rPh sb="2" eb="4">
      <t>ギカイ</t>
    </rPh>
    <rPh sb="4" eb="7">
      <t>ジムキョク</t>
    </rPh>
    <rPh sb="7" eb="9">
      <t>セッチ</t>
    </rPh>
    <phoneticPr fontId="2"/>
  </si>
  <si>
    <t>関町が「交通安全の町」宣言</t>
    <rPh sb="0" eb="2">
      <t>セキチョウ</t>
    </rPh>
    <rPh sb="4" eb="6">
      <t>コウツウ</t>
    </rPh>
    <rPh sb="6" eb="8">
      <t>アンゼン</t>
    </rPh>
    <rPh sb="9" eb="10">
      <t>マチ</t>
    </rPh>
    <rPh sb="11" eb="13">
      <t>センゲン</t>
    </rPh>
    <phoneticPr fontId="2"/>
  </si>
  <si>
    <t>関町青少年育成者連絡協議会結成</t>
    <rPh sb="0" eb="2">
      <t>セキチョウ</t>
    </rPh>
    <rPh sb="2" eb="5">
      <t>セイショウネン</t>
    </rPh>
    <rPh sb="5" eb="7">
      <t>イクセイ</t>
    </rPh>
    <rPh sb="7" eb="8">
      <t>シャ</t>
    </rPh>
    <rPh sb="8" eb="10">
      <t>レンラク</t>
    </rPh>
    <rPh sb="10" eb="13">
      <t>キョウギカイ</t>
    </rPh>
    <rPh sb="13" eb="15">
      <t>ケッセイ</t>
    </rPh>
    <phoneticPr fontId="2"/>
  </si>
  <si>
    <t>加太駅貨物の取扱を廃止</t>
    <rPh sb="0" eb="2">
      <t>カブト</t>
    </rPh>
    <rPh sb="2" eb="3">
      <t>エキ</t>
    </rPh>
    <rPh sb="3" eb="5">
      <t>カモツ</t>
    </rPh>
    <rPh sb="6" eb="8">
      <t>トリアツカイ</t>
    </rPh>
    <rPh sb="9" eb="11">
      <t>ハイシ</t>
    </rPh>
    <phoneticPr fontId="2"/>
  </si>
  <si>
    <t>加太駅</t>
    <phoneticPr fontId="2"/>
  </si>
  <si>
    <t>旧関中学校加太分校校舎を小学校よりに移動、給食施設整備、完全給食実施</t>
    <rPh sb="0" eb="1">
      <t>キュウ</t>
    </rPh>
    <rPh sb="1" eb="2">
      <t>セキ</t>
    </rPh>
    <rPh sb="2" eb="5">
      <t>チュウガッコウ</t>
    </rPh>
    <rPh sb="5" eb="7">
      <t>カブト</t>
    </rPh>
    <rPh sb="7" eb="9">
      <t>ブンコウ</t>
    </rPh>
    <rPh sb="9" eb="11">
      <t>コウシャ</t>
    </rPh>
    <rPh sb="12" eb="15">
      <t>ショウガッコウ</t>
    </rPh>
    <rPh sb="18" eb="20">
      <t>イドウ</t>
    </rPh>
    <rPh sb="21" eb="23">
      <t>キュウショク</t>
    </rPh>
    <rPh sb="23" eb="25">
      <t>シセツ</t>
    </rPh>
    <rPh sb="25" eb="27">
      <t>セイビ</t>
    </rPh>
    <rPh sb="28" eb="30">
      <t>カンゼン</t>
    </rPh>
    <rPh sb="30" eb="32">
      <t>キュウショク</t>
    </rPh>
    <rPh sb="32" eb="34">
      <t>ジッシ</t>
    </rPh>
    <phoneticPr fontId="2"/>
  </si>
  <si>
    <t>北川原橋、永久橋を完成</t>
    <rPh sb="0" eb="1">
      <t>キタ</t>
    </rPh>
    <rPh sb="1" eb="3">
      <t>カワラ</t>
    </rPh>
    <rPh sb="3" eb="4">
      <t>ハシ</t>
    </rPh>
    <rPh sb="5" eb="7">
      <t>エイキュウ</t>
    </rPh>
    <rPh sb="7" eb="8">
      <t>ハシ</t>
    </rPh>
    <rPh sb="9" eb="11">
      <t>カンセイ</t>
    </rPh>
    <phoneticPr fontId="2"/>
  </si>
  <si>
    <t>北川原橋</t>
    <phoneticPr fontId="2"/>
  </si>
  <si>
    <t>中町末広通で火災、末広湯・三重製茶全焼</t>
    <rPh sb="0" eb="2">
      <t>ナカマチ</t>
    </rPh>
    <rPh sb="2" eb="4">
      <t>スエヒロ</t>
    </rPh>
    <rPh sb="4" eb="5">
      <t>トオ</t>
    </rPh>
    <rPh sb="6" eb="8">
      <t>カサイ</t>
    </rPh>
    <rPh sb="9" eb="11">
      <t>スエヒロ</t>
    </rPh>
    <rPh sb="11" eb="12">
      <t>ユ</t>
    </rPh>
    <rPh sb="13" eb="15">
      <t>ミエ</t>
    </rPh>
    <rPh sb="15" eb="17">
      <t>セイチャ</t>
    </rPh>
    <rPh sb="17" eb="19">
      <t>ゼンショウ</t>
    </rPh>
    <phoneticPr fontId="2"/>
  </si>
  <si>
    <t>関町中町</t>
    <rPh sb="0" eb="1">
      <t>セキ</t>
    </rPh>
    <rPh sb="1" eb="2">
      <t>チョウ</t>
    </rPh>
    <phoneticPr fontId="2"/>
  </si>
  <si>
    <t>末広湯・三重製茶</t>
    <phoneticPr fontId="2"/>
  </si>
  <si>
    <t>水落頭首工完成</t>
    <rPh sb="0" eb="1">
      <t>ミズ</t>
    </rPh>
    <rPh sb="1" eb="2">
      <t>オ</t>
    </rPh>
    <rPh sb="2" eb="3">
      <t>カシラ</t>
    </rPh>
    <rPh sb="3" eb="4">
      <t>クビ</t>
    </rPh>
    <rPh sb="4" eb="5">
      <t>コウ</t>
    </rPh>
    <rPh sb="5" eb="7">
      <t>カンセイ</t>
    </rPh>
    <phoneticPr fontId="2"/>
  </si>
  <si>
    <t>水落頭首工</t>
    <phoneticPr fontId="2"/>
  </si>
  <si>
    <t>一の湯頭首工復旧工事落成</t>
    <rPh sb="0" eb="1">
      <t>イチ</t>
    </rPh>
    <rPh sb="2" eb="3">
      <t>ユ</t>
    </rPh>
    <rPh sb="3" eb="5">
      <t>トウシュ</t>
    </rPh>
    <rPh sb="5" eb="6">
      <t>コウ</t>
    </rPh>
    <rPh sb="6" eb="8">
      <t>フッキュウ</t>
    </rPh>
    <rPh sb="8" eb="10">
      <t>コウジ</t>
    </rPh>
    <rPh sb="10" eb="12">
      <t>ラクセイ</t>
    </rPh>
    <phoneticPr fontId="2"/>
  </si>
  <si>
    <t>一の湯頭首工</t>
    <phoneticPr fontId="2"/>
  </si>
  <si>
    <t>谷の垣内頭首工復旧工事落成</t>
    <rPh sb="0" eb="1">
      <t>タニ</t>
    </rPh>
    <rPh sb="2" eb="3">
      <t>カキ</t>
    </rPh>
    <rPh sb="3" eb="4">
      <t>ウチ</t>
    </rPh>
    <rPh sb="4" eb="5">
      <t>カシラ</t>
    </rPh>
    <rPh sb="5" eb="6">
      <t>クビ</t>
    </rPh>
    <rPh sb="6" eb="7">
      <t>コウ</t>
    </rPh>
    <rPh sb="7" eb="9">
      <t>フッキュウ</t>
    </rPh>
    <rPh sb="9" eb="11">
      <t>コウジ</t>
    </rPh>
    <rPh sb="11" eb="13">
      <t>ラクセイ</t>
    </rPh>
    <phoneticPr fontId="2"/>
  </si>
  <si>
    <t>加太中在家</t>
    <rPh sb="0" eb="2">
      <t>カブト</t>
    </rPh>
    <rPh sb="2" eb="5">
      <t>ナカザイケ</t>
    </rPh>
    <phoneticPr fontId="2"/>
  </si>
  <si>
    <t>谷の垣内頭首工</t>
    <rPh sb="6" eb="7">
      <t>コウ</t>
    </rPh>
    <phoneticPr fontId="2"/>
  </si>
  <si>
    <t>関町が消防ポンプ自動車を購入、関町地域防災計画樹立</t>
    <rPh sb="0" eb="2">
      <t>セキチョウ</t>
    </rPh>
    <rPh sb="3" eb="5">
      <t>ショウボウ</t>
    </rPh>
    <rPh sb="8" eb="11">
      <t>ジドウシャ</t>
    </rPh>
    <rPh sb="12" eb="14">
      <t>コウニュウ</t>
    </rPh>
    <rPh sb="15" eb="17">
      <t>セキチョウ</t>
    </rPh>
    <rPh sb="17" eb="19">
      <t>チイキ</t>
    </rPh>
    <rPh sb="19" eb="21">
      <t>ボウサイ</t>
    </rPh>
    <rPh sb="21" eb="23">
      <t>ケイカク</t>
    </rPh>
    <rPh sb="23" eb="25">
      <t>ジュリツ</t>
    </rPh>
    <phoneticPr fontId="2"/>
  </si>
  <si>
    <t>昭和38</t>
  </si>
  <si>
    <t>部分的核実験停止条約を結ぶ</t>
  </si>
  <si>
    <t>和賀に私立城南高等学校開校</t>
    <rPh sb="0" eb="2">
      <t>ワガ</t>
    </rPh>
    <rPh sb="3" eb="4">
      <t>ワタクシ</t>
    </rPh>
    <rPh sb="4" eb="5">
      <t>リツ</t>
    </rPh>
    <rPh sb="5" eb="6">
      <t>シロ</t>
    </rPh>
    <rPh sb="6" eb="7">
      <t>ミナミ</t>
    </rPh>
    <rPh sb="7" eb="9">
      <t>コウトウ</t>
    </rPh>
    <rPh sb="9" eb="11">
      <t>ガッコウ</t>
    </rPh>
    <rPh sb="11" eb="13">
      <t>カイコウ</t>
    </rPh>
    <phoneticPr fontId="2"/>
  </si>
  <si>
    <t>亀山南</t>
    <rPh sb="0" eb="2">
      <t>カメヤマ</t>
    </rPh>
    <rPh sb="2" eb="3">
      <t>ミナミ</t>
    </rPh>
    <phoneticPr fontId="2"/>
  </si>
  <si>
    <t>和賀町</t>
    <rPh sb="0" eb="3">
      <t>ワガチョウ</t>
    </rPh>
    <phoneticPr fontId="2"/>
  </si>
  <si>
    <t>私立城南高等学校</t>
    <phoneticPr fontId="2"/>
  </si>
  <si>
    <t>『亀山のあゆみ』P.416・年表</t>
    <rPh sb="14" eb="16">
      <t>ネ</t>
    </rPh>
    <phoneticPr fontId="2"/>
  </si>
  <si>
    <t>三重大学学芸学部附属亀山小・中学校廃校となり、津市の附属小・中学校に統合する</t>
    <rPh sb="0" eb="2">
      <t>ミエ</t>
    </rPh>
    <rPh sb="2" eb="4">
      <t>ダイガク</t>
    </rPh>
    <rPh sb="4" eb="6">
      <t>ガクゲイ</t>
    </rPh>
    <rPh sb="6" eb="8">
      <t>ガクブ</t>
    </rPh>
    <rPh sb="8" eb="10">
      <t>フゾク</t>
    </rPh>
    <rPh sb="10" eb="12">
      <t>カメヤマ</t>
    </rPh>
    <rPh sb="12" eb="13">
      <t>ショウ</t>
    </rPh>
    <rPh sb="14" eb="17">
      <t>チュウガッコウ</t>
    </rPh>
    <rPh sb="17" eb="19">
      <t>ハイコウ</t>
    </rPh>
    <rPh sb="23" eb="25">
      <t>ツシ</t>
    </rPh>
    <rPh sb="26" eb="28">
      <t>フゾク</t>
    </rPh>
    <rPh sb="28" eb="29">
      <t>ショウ</t>
    </rPh>
    <rPh sb="30" eb="33">
      <t>チュウガッコウ</t>
    </rPh>
    <rPh sb="34" eb="36">
      <t>トウゴウ</t>
    </rPh>
    <phoneticPr fontId="2"/>
  </si>
  <si>
    <t>三重大学学芸学部附属亀山小・中学校</t>
    <phoneticPr fontId="2"/>
  </si>
  <si>
    <t>『亀山のあゆみ』P.396・年表</t>
    <rPh sb="14" eb="16">
      <t>ネ</t>
    </rPh>
    <phoneticPr fontId="2"/>
  </si>
  <si>
    <t>三重大学学芸学部附属亀山小・中学校の跡地に市立亀山東小学校開校
市立亀山小学校を市立亀山西小学校と改称し、各通学区域を定める</t>
    <rPh sb="18" eb="20">
      <t>アトチ</t>
    </rPh>
    <rPh sb="21" eb="22">
      <t>シ</t>
    </rPh>
    <rPh sb="22" eb="23">
      <t>リツ</t>
    </rPh>
    <rPh sb="23" eb="25">
      <t>カメヤマ</t>
    </rPh>
    <rPh sb="25" eb="26">
      <t>ヒガシ</t>
    </rPh>
    <rPh sb="26" eb="29">
      <t>ショウガッコウ</t>
    </rPh>
    <rPh sb="29" eb="31">
      <t>カイコウ</t>
    </rPh>
    <rPh sb="32" eb="34">
      <t>シリツ</t>
    </rPh>
    <rPh sb="34" eb="36">
      <t>カメヤマ</t>
    </rPh>
    <rPh sb="36" eb="39">
      <t>ショウガッコウ</t>
    </rPh>
    <rPh sb="40" eb="42">
      <t>イチリツ</t>
    </rPh>
    <rPh sb="42" eb="44">
      <t>カメヤマ</t>
    </rPh>
    <rPh sb="44" eb="45">
      <t>ニシ</t>
    </rPh>
    <rPh sb="45" eb="48">
      <t>ショウガッコウ</t>
    </rPh>
    <rPh sb="49" eb="51">
      <t>カイショウ</t>
    </rPh>
    <rPh sb="53" eb="54">
      <t>カク</t>
    </rPh>
    <rPh sb="54" eb="56">
      <t>ツウガク</t>
    </rPh>
    <rPh sb="56" eb="58">
      <t>クイキ</t>
    </rPh>
    <rPh sb="59" eb="60">
      <t>サダ</t>
    </rPh>
    <phoneticPr fontId="2"/>
  </si>
  <si>
    <t>亀山東
亀山西</t>
    <rPh sb="0" eb="3">
      <t>カメヤマヒガシ</t>
    </rPh>
    <rPh sb="4" eb="6">
      <t>カメヤマ</t>
    </rPh>
    <rPh sb="6" eb="7">
      <t>ニシ</t>
    </rPh>
    <phoneticPr fontId="2"/>
  </si>
  <si>
    <t>本町
本丸町</t>
    <rPh sb="0" eb="2">
      <t>ホンマチ</t>
    </rPh>
    <rPh sb="3" eb="5">
      <t>ホンマル</t>
    </rPh>
    <rPh sb="5" eb="6">
      <t>マチ</t>
    </rPh>
    <phoneticPr fontId="2"/>
  </si>
  <si>
    <t>亀山東小学校
亀山西小学校</t>
    <phoneticPr fontId="2"/>
  </si>
  <si>
    <t>学校のあゆみ／亀山西小学校のれきし</t>
    <rPh sb="0" eb="2">
      <t>ガッコウ</t>
    </rPh>
    <rPh sb="7" eb="9">
      <t>カメヤマ</t>
    </rPh>
    <rPh sb="9" eb="10">
      <t>ニシ</t>
    </rPh>
    <rPh sb="10" eb="13">
      <t>ショウガッコウ</t>
    </rPh>
    <phoneticPr fontId="2"/>
  </si>
  <si>
    <t>『亀山のあゆみ』P.396～P.398・年表
『亀山市史』歴史分野</t>
    <rPh sb="20" eb="22">
      <t>ネ</t>
    </rPh>
    <rPh sb="24" eb="27">
      <t>カメヤマシ</t>
    </rPh>
    <rPh sb="27" eb="28">
      <t>シ</t>
    </rPh>
    <rPh sb="29" eb="31">
      <t>レキシ</t>
    </rPh>
    <rPh sb="31" eb="33">
      <t>ブンヤ</t>
    </rPh>
    <phoneticPr fontId="2"/>
  </si>
  <si>
    <t>学校のあゆみ／亀山東小学校のれきし</t>
    <rPh sb="9" eb="10">
      <t>ヒガシ</t>
    </rPh>
    <phoneticPr fontId="2"/>
  </si>
  <si>
    <t>http://kameyamarekihaku.jp/kodomo/w_e_b/ayumi/page005.html</t>
  </si>
  <si>
    <t>亀山新開地商店街協同組合（東御幸町）結成</t>
    <rPh sb="0" eb="2">
      <t>カメヤマ</t>
    </rPh>
    <rPh sb="2" eb="5">
      <t>シンカイチ</t>
    </rPh>
    <rPh sb="5" eb="8">
      <t>ショウテンガイ</t>
    </rPh>
    <rPh sb="8" eb="10">
      <t>キョウドウ</t>
    </rPh>
    <rPh sb="10" eb="12">
      <t>クミアイ</t>
    </rPh>
    <rPh sb="13" eb="14">
      <t>ヒガシ</t>
    </rPh>
    <rPh sb="14" eb="16">
      <t>ミユキ</t>
    </rPh>
    <rPh sb="16" eb="17">
      <t>マチ</t>
    </rPh>
    <rPh sb="18" eb="20">
      <t>ケッセイ</t>
    </rPh>
    <phoneticPr fontId="2"/>
  </si>
  <si>
    <t>東御幸町</t>
    <phoneticPr fontId="2"/>
  </si>
  <si>
    <t>亀山新開地商店街協同組合</t>
    <phoneticPr fontId="2"/>
  </si>
  <si>
    <t>日本の歴史の中の亀山／現代の亀山／産業／商業</t>
    <rPh sb="20" eb="22">
      <t>ショウギョウ</t>
    </rPh>
    <phoneticPr fontId="2"/>
  </si>
  <si>
    <t>http://kameyamarekihaku.jp/kodomo/w_e_b/rekishi/gendai/sangyo/syogyo/index.html</t>
  </si>
  <si>
    <t>神辺・白川地区有線放送開始</t>
    <rPh sb="3" eb="5">
      <t>シラカワ</t>
    </rPh>
    <rPh sb="5" eb="7">
      <t>チク</t>
    </rPh>
    <rPh sb="7" eb="9">
      <t>ユウセン</t>
    </rPh>
    <rPh sb="9" eb="11">
      <t>ホウソウ</t>
    </rPh>
    <rPh sb="11" eb="13">
      <t>カイシ</t>
    </rPh>
    <phoneticPr fontId="2"/>
  </si>
  <si>
    <t>神辺・白川</t>
    <rPh sb="0" eb="2">
      <t>カンベ</t>
    </rPh>
    <rPh sb="3" eb="5">
      <t>シラカワ</t>
    </rPh>
    <phoneticPr fontId="2"/>
  </si>
  <si>
    <t>御幣川に金瀬橋完成</t>
    <rPh sb="0" eb="1">
      <t>オン</t>
    </rPh>
    <rPh sb="1" eb="2">
      <t>ヘイ</t>
    </rPh>
    <rPh sb="2" eb="3">
      <t>カワ</t>
    </rPh>
    <rPh sb="4" eb="6">
      <t>カナセ</t>
    </rPh>
    <rPh sb="6" eb="7">
      <t>ハシ</t>
    </rPh>
    <rPh sb="7" eb="9">
      <t>カンセイ</t>
    </rPh>
    <phoneticPr fontId="2"/>
  </si>
  <si>
    <t>金瀬橋</t>
    <phoneticPr fontId="2"/>
  </si>
  <si>
    <t>『亀山のあゆみ』</t>
    <phoneticPr fontId="2"/>
  </si>
  <si>
    <t>天神町にみなみ保育園開園</t>
    <rPh sb="0" eb="2">
      <t>テンジン</t>
    </rPh>
    <rPh sb="2" eb="3">
      <t>マチ</t>
    </rPh>
    <rPh sb="7" eb="9">
      <t>ホイク</t>
    </rPh>
    <rPh sb="9" eb="10">
      <t>エン</t>
    </rPh>
    <rPh sb="10" eb="12">
      <t>カイエン</t>
    </rPh>
    <phoneticPr fontId="2"/>
  </si>
  <si>
    <t>天神町</t>
    <phoneticPr fontId="2"/>
  </si>
  <si>
    <t>みなみ保育園</t>
    <phoneticPr fontId="2"/>
  </si>
  <si>
    <t>『亀山のあゆみ』P.362・年表</t>
    <rPh sb="14" eb="16">
      <t>ネ</t>
    </rPh>
    <phoneticPr fontId="2"/>
  </si>
  <si>
    <t>亀山市自治会連合会結成</t>
    <rPh sb="0" eb="3">
      <t>カメヤマシ</t>
    </rPh>
    <rPh sb="3" eb="6">
      <t>ジチカイ</t>
    </rPh>
    <rPh sb="6" eb="9">
      <t>レンゴウカイ</t>
    </rPh>
    <rPh sb="9" eb="11">
      <t>ケッセイ</t>
    </rPh>
    <phoneticPr fontId="2"/>
  </si>
  <si>
    <t>小野橋架替工事完成</t>
    <rPh sb="0" eb="2">
      <t>オノ</t>
    </rPh>
    <rPh sb="2" eb="3">
      <t>ハシ</t>
    </rPh>
    <rPh sb="3" eb="4">
      <t>カ</t>
    </rPh>
    <rPh sb="4" eb="5">
      <t>カ</t>
    </rPh>
    <rPh sb="5" eb="7">
      <t>コウジ</t>
    </rPh>
    <rPh sb="7" eb="9">
      <t>カンセイ</t>
    </rPh>
    <phoneticPr fontId="2"/>
  </si>
  <si>
    <t>小野町</t>
    <rPh sb="0" eb="3">
      <t>オノチョウ</t>
    </rPh>
    <phoneticPr fontId="2"/>
  </si>
  <si>
    <t>小野橋</t>
    <phoneticPr fontId="2"/>
  </si>
  <si>
    <t>野谷頭首工完成</t>
    <rPh sb="0" eb="1">
      <t>ノ</t>
    </rPh>
    <rPh sb="1" eb="2">
      <t>タニ</t>
    </rPh>
    <rPh sb="2" eb="3">
      <t>カシラ</t>
    </rPh>
    <rPh sb="3" eb="4">
      <t>クビ</t>
    </rPh>
    <rPh sb="4" eb="5">
      <t>コウ</t>
    </rPh>
    <rPh sb="5" eb="7">
      <t>カンセイ</t>
    </rPh>
    <phoneticPr fontId="2"/>
  </si>
  <si>
    <t>野谷頭首工</t>
    <phoneticPr fontId="2"/>
  </si>
  <si>
    <t>権現揚水機工事を完成</t>
    <rPh sb="0" eb="2">
      <t>ゴンゲン</t>
    </rPh>
    <rPh sb="2" eb="4">
      <t>ヨウスイ</t>
    </rPh>
    <rPh sb="4" eb="5">
      <t>キ</t>
    </rPh>
    <rPh sb="5" eb="7">
      <t>コウジ</t>
    </rPh>
    <rPh sb="8" eb="10">
      <t>カンセイ</t>
    </rPh>
    <phoneticPr fontId="2"/>
  </si>
  <si>
    <t>権現揚水機</t>
    <phoneticPr fontId="2"/>
  </si>
  <si>
    <t>三重県警関検問所竣工</t>
    <rPh sb="4" eb="5">
      <t>セキ</t>
    </rPh>
    <rPh sb="5" eb="8">
      <t>ケンモンジョ</t>
    </rPh>
    <rPh sb="8" eb="10">
      <t>シュンコウ</t>
    </rPh>
    <phoneticPr fontId="2"/>
  </si>
  <si>
    <t>三重県警関検問所</t>
    <phoneticPr fontId="2"/>
  </si>
  <si>
    <t>明神橋復旧工事完成</t>
    <rPh sb="0" eb="2">
      <t>ミョウジン</t>
    </rPh>
    <rPh sb="2" eb="3">
      <t>バシ</t>
    </rPh>
    <rPh sb="3" eb="5">
      <t>フッキュウ</t>
    </rPh>
    <rPh sb="5" eb="7">
      <t>コウジ</t>
    </rPh>
    <rPh sb="7" eb="9">
      <t>カンセイ</t>
    </rPh>
    <phoneticPr fontId="2"/>
  </si>
  <si>
    <t>明神橋</t>
    <phoneticPr fontId="2"/>
  </si>
  <si>
    <t>会下旧西部中学校跡に株式会社マルマツニット誘致</t>
    <rPh sb="0" eb="2">
      <t>エゲ</t>
    </rPh>
    <rPh sb="2" eb="3">
      <t>キュウ</t>
    </rPh>
    <rPh sb="3" eb="5">
      <t>セイブ</t>
    </rPh>
    <rPh sb="5" eb="8">
      <t>チュウガッコウ</t>
    </rPh>
    <rPh sb="8" eb="9">
      <t>アト</t>
    </rPh>
    <rPh sb="10" eb="12">
      <t>カブシキ</t>
    </rPh>
    <rPh sb="12" eb="14">
      <t>カイシャ</t>
    </rPh>
    <rPh sb="21" eb="23">
      <t>ユウチ</t>
    </rPh>
    <phoneticPr fontId="2"/>
  </si>
  <si>
    <t>株式会社マルマツニット</t>
    <phoneticPr fontId="2"/>
  </si>
  <si>
    <t>萩原・福徳の集配受持を関郵便局に変更（旧椋本局）</t>
    <rPh sb="0" eb="2">
      <t>ハギワラ</t>
    </rPh>
    <rPh sb="3" eb="5">
      <t>フクトク</t>
    </rPh>
    <rPh sb="6" eb="8">
      <t>シュウハイ</t>
    </rPh>
    <rPh sb="8" eb="10">
      <t>ウケモ</t>
    </rPh>
    <rPh sb="11" eb="12">
      <t>セキ</t>
    </rPh>
    <rPh sb="12" eb="15">
      <t>ユウビンキョク</t>
    </rPh>
    <rPh sb="16" eb="18">
      <t>ヘンコウ</t>
    </rPh>
    <rPh sb="19" eb="20">
      <t>キュウ</t>
    </rPh>
    <rPh sb="20" eb="22">
      <t>ムクモト</t>
    </rPh>
    <rPh sb="22" eb="23">
      <t>キョク</t>
    </rPh>
    <phoneticPr fontId="2"/>
  </si>
  <si>
    <t>関町萩原・関町福徳</t>
    <rPh sb="0" eb="1">
      <t>セキ</t>
    </rPh>
    <rPh sb="1" eb="2">
      <t>チョウ</t>
    </rPh>
    <rPh sb="5" eb="6">
      <t>セキ</t>
    </rPh>
    <rPh sb="6" eb="7">
      <t>チョウ</t>
    </rPh>
    <rPh sb="7" eb="9">
      <t>フクトク</t>
    </rPh>
    <phoneticPr fontId="2"/>
  </si>
  <si>
    <t>関駅前に交通信号灯を設置</t>
    <rPh sb="0" eb="1">
      <t>セキ</t>
    </rPh>
    <rPh sb="1" eb="2">
      <t>エキ</t>
    </rPh>
    <rPh sb="2" eb="3">
      <t>マエ</t>
    </rPh>
    <rPh sb="4" eb="6">
      <t>コウツウ</t>
    </rPh>
    <rPh sb="6" eb="9">
      <t>シンゴウトウ</t>
    </rPh>
    <rPh sb="10" eb="12">
      <t>セッチ</t>
    </rPh>
    <phoneticPr fontId="2"/>
  </si>
  <si>
    <t>交通信号灯</t>
    <rPh sb="0" eb="1">
      <t>コウ</t>
    </rPh>
    <phoneticPr fontId="2"/>
  </si>
  <si>
    <t>中在家橋、永久橋となる</t>
    <rPh sb="0" eb="3">
      <t>ナカザイケ</t>
    </rPh>
    <rPh sb="3" eb="4">
      <t>ハシ</t>
    </rPh>
    <rPh sb="5" eb="7">
      <t>エイキュウ</t>
    </rPh>
    <rPh sb="7" eb="8">
      <t>ハシ</t>
    </rPh>
    <phoneticPr fontId="2"/>
  </si>
  <si>
    <t>加太中在家</t>
    <rPh sb="0" eb="2">
      <t>カブト</t>
    </rPh>
    <phoneticPr fontId="2"/>
  </si>
  <si>
    <t>中在家橋</t>
  </si>
  <si>
    <t>小野頭首工完成</t>
    <rPh sb="0" eb="2">
      <t>オノ</t>
    </rPh>
    <rPh sb="2" eb="4">
      <t>トウシュ</t>
    </rPh>
    <rPh sb="4" eb="5">
      <t>コウ</t>
    </rPh>
    <rPh sb="5" eb="7">
      <t>カンセイ</t>
    </rPh>
    <phoneticPr fontId="2"/>
  </si>
  <si>
    <t>関町小野</t>
    <rPh sb="0" eb="1">
      <t>セキ</t>
    </rPh>
    <rPh sb="1" eb="2">
      <t>チョウ</t>
    </rPh>
    <rPh sb="2" eb="4">
      <t>オノ</t>
    </rPh>
    <phoneticPr fontId="2"/>
  </si>
  <si>
    <t>小野頭首工</t>
    <phoneticPr fontId="2"/>
  </si>
  <si>
    <t>中部電力株式会社が鈴鹿峠に送電を開始</t>
    <rPh sb="0" eb="2">
      <t>チュウブ</t>
    </rPh>
    <rPh sb="2" eb="4">
      <t>デンリョク</t>
    </rPh>
    <rPh sb="4" eb="6">
      <t>カブシキ</t>
    </rPh>
    <rPh sb="6" eb="8">
      <t>カイシャ</t>
    </rPh>
    <rPh sb="9" eb="11">
      <t>スズカ</t>
    </rPh>
    <rPh sb="11" eb="12">
      <t>トウゲ</t>
    </rPh>
    <rPh sb="13" eb="15">
      <t>ソウデン</t>
    </rPh>
    <rPh sb="16" eb="18">
      <t>カイシ</t>
    </rPh>
    <phoneticPr fontId="2"/>
  </si>
  <si>
    <t>木崎地内の排水改修事業完成</t>
    <rPh sb="0" eb="1">
      <t>キ</t>
    </rPh>
    <rPh sb="1" eb="2">
      <t>サキ</t>
    </rPh>
    <rPh sb="2" eb="3">
      <t>チ</t>
    </rPh>
    <rPh sb="3" eb="4">
      <t>ナイ</t>
    </rPh>
    <rPh sb="5" eb="7">
      <t>ハイスイ</t>
    </rPh>
    <rPh sb="7" eb="9">
      <t>カイシュウ</t>
    </rPh>
    <rPh sb="9" eb="11">
      <t>ジギョウ</t>
    </rPh>
    <rPh sb="11" eb="13">
      <t>カンセイ</t>
    </rPh>
    <phoneticPr fontId="2"/>
  </si>
  <si>
    <t>関町木崎</t>
    <rPh sb="0" eb="1">
      <t>セキ</t>
    </rPh>
    <rPh sb="1" eb="2">
      <t>チョウ</t>
    </rPh>
    <phoneticPr fontId="2"/>
  </si>
  <si>
    <t>三交関ドライブイン竣工</t>
    <rPh sb="0" eb="1">
      <t>サン</t>
    </rPh>
    <rPh sb="1" eb="2">
      <t>コウ</t>
    </rPh>
    <rPh sb="2" eb="3">
      <t>セキ</t>
    </rPh>
    <rPh sb="9" eb="11">
      <t>シュンコウ</t>
    </rPh>
    <phoneticPr fontId="2"/>
  </si>
  <si>
    <t>三交関ドライブイン</t>
    <phoneticPr fontId="2"/>
  </si>
  <si>
    <t>昭和39</t>
  </si>
  <si>
    <t>東海道新幹線が開通する　</t>
  </si>
  <si>
    <t>オリンピック東京大会が開かれる</t>
  </si>
  <si>
    <t>一般配給米（１人１ヶ月１０キロ）の水稲うるち米ほか徳用米と準内地米も一般配給米扱いに、特配はタイ・ビルマ（現在のミャンマー）の外米のみ</t>
    <rPh sb="0" eb="2">
      <t>イッパン</t>
    </rPh>
    <rPh sb="2" eb="4">
      <t>ハイキュウ</t>
    </rPh>
    <rPh sb="4" eb="5">
      <t>コメ</t>
    </rPh>
    <rPh sb="7" eb="8">
      <t>ニン</t>
    </rPh>
    <rPh sb="10" eb="11">
      <t>ゲツ</t>
    </rPh>
    <rPh sb="17" eb="19">
      <t>スイトウ</t>
    </rPh>
    <rPh sb="22" eb="23">
      <t>コメ</t>
    </rPh>
    <rPh sb="25" eb="27">
      <t>トクヨウ</t>
    </rPh>
    <rPh sb="27" eb="28">
      <t>マイ</t>
    </rPh>
    <rPh sb="29" eb="30">
      <t>ジュン</t>
    </rPh>
    <rPh sb="30" eb="33">
      <t>ナイチマイ</t>
    </rPh>
    <rPh sb="34" eb="36">
      <t>イッパン</t>
    </rPh>
    <rPh sb="36" eb="39">
      <t>ハイキュウマイ</t>
    </rPh>
    <rPh sb="39" eb="40">
      <t>アツカ</t>
    </rPh>
    <rPh sb="43" eb="45">
      <t>トクハイ</t>
    </rPh>
    <rPh sb="53" eb="55">
      <t>ゲンザイ</t>
    </rPh>
    <rPh sb="63" eb="65">
      <t>ガイマイ</t>
    </rPh>
    <phoneticPr fontId="2"/>
  </si>
  <si>
    <t>昼生・川崎・野登・白川・神辺の５農協合併、亀山農業協同組合を設立</t>
    <rPh sb="0" eb="2">
      <t>ヒルオ</t>
    </rPh>
    <rPh sb="3" eb="5">
      <t>カワサキ</t>
    </rPh>
    <rPh sb="6" eb="8">
      <t>ノノボリ</t>
    </rPh>
    <rPh sb="9" eb="11">
      <t>シラカワ</t>
    </rPh>
    <rPh sb="12" eb="14">
      <t>カンベ</t>
    </rPh>
    <rPh sb="16" eb="18">
      <t>ノウキョウ</t>
    </rPh>
    <rPh sb="18" eb="20">
      <t>ガッペイ</t>
    </rPh>
    <rPh sb="21" eb="23">
      <t>カメヤマ</t>
    </rPh>
    <rPh sb="23" eb="25">
      <t>ノウギョウ</t>
    </rPh>
    <rPh sb="25" eb="27">
      <t>キョウドウ</t>
    </rPh>
    <rPh sb="27" eb="29">
      <t>クミアイ</t>
    </rPh>
    <rPh sb="30" eb="32">
      <t>セツリツ</t>
    </rPh>
    <phoneticPr fontId="2"/>
  </si>
  <si>
    <t>昼生・川崎・野登・白川・神辺</t>
    <phoneticPr fontId="2"/>
  </si>
  <si>
    <t>亀山農業協同組合</t>
    <phoneticPr fontId="2"/>
  </si>
  <si>
    <t>『亀山のあゆみ』年表
『亀山市史』通史　近代現代</t>
    <rPh sb="8" eb="10">
      <t>ネ</t>
    </rPh>
    <rPh sb="11" eb="24">
      <t>ツ</t>
    </rPh>
    <phoneticPr fontId="2"/>
  </si>
  <si>
    <t>亀山西小学校と亀山東小学校で完全学校給食を実施</t>
    <rPh sb="0" eb="2">
      <t>カメヤマ</t>
    </rPh>
    <rPh sb="2" eb="3">
      <t>ニシ</t>
    </rPh>
    <rPh sb="3" eb="6">
      <t>ショウガッコウ</t>
    </rPh>
    <rPh sb="7" eb="9">
      <t>カメヤマ</t>
    </rPh>
    <rPh sb="9" eb="10">
      <t>ヒガシ</t>
    </rPh>
    <rPh sb="10" eb="13">
      <t>ショウガッコウ</t>
    </rPh>
    <rPh sb="14" eb="16">
      <t>カンゼン</t>
    </rPh>
    <rPh sb="16" eb="18">
      <t>ガッコウ</t>
    </rPh>
    <rPh sb="18" eb="20">
      <t>キュウショク</t>
    </rPh>
    <rPh sb="21" eb="23">
      <t>ジッシ</t>
    </rPh>
    <phoneticPr fontId="2"/>
  </si>
  <si>
    <t>亀山西・亀山東</t>
    <rPh sb="4" eb="6">
      <t>カメヤマ</t>
    </rPh>
    <phoneticPr fontId="2"/>
  </si>
  <si>
    <t>本丸町・本町</t>
    <rPh sb="0" eb="3">
      <t>ホンマルチョウ</t>
    </rPh>
    <rPh sb="4" eb="6">
      <t>ホンマチ</t>
    </rPh>
    <phoneticPr fontId="2"/>
  </si>
  <si>
    <t>亀山西小学校・亀山東小学校</t>
    <rPh sb="3" eb="6">
      <t>ショウガッコウ</t>
    </rPh>
    <rPh sb="7" eb="9">
      <t>カメヤマ</t>
    </rPh>
    <rPh sb="10" eb="11">
      <t>ショウ</t>
    </rPh>
    <rPh sb="11" eb="13">
      <t>ガッコウ</t>
    </rPh>
    <phoneticPr fontId="2"/>
  </si>
  <si>
    <t>学校のあゆみ／亀山西小学校のれきし</t>
    <phoneticPr fontId="2"/>
  </si>
  <si>
    <t>亀山窯業企業組合設立</t>
    <rPh sb="0" eb="2">
      <t>カメヤマ</t>
    </rPh>
    <rPh sb="2" eb="4">
      <t>ヨウギョウ</t>
    </rPh>
    <rPh sb="4" eb="6">
      <t>キギョウ</t>
    </rPh>
    <rPh sb="6" eb="8">
      <t>クミアイ</t>
    </rPh>
    <rPh sb="8" eb="10">
      <t>セツリツ</t>
    </rPh>
    <phoneticPr fontId="2"/>
  </si>
  <si>
    <t>亀山水道事業協同組合設立</t>
    <rPh sb="0" eb="2">
      <t>カメヤマ</t>
    </rPh>
    <rPh sb="2" eb="4">
      <t>スイドウ</t>
    </rPh>
    <rPh sb="4" eb="6">
      <t>ジギョウ</t>
    </rPh>
    <rPh sb="6" eb="7">
      <t>キョウ</t>
    </rPh>
    <rPh sb="7" eb="8">
      <t>ドウ</t>
    </rPh>
    <rPh sb="8" eb="10">
      <t>クミアイ</t>
    </rPh>
    <rPh sb="10" eb="12">
      <t>セツリツ</t>
    </rPh>
    <phoneticPr fontId="2"/>
  </si>
  <si>
    <t>野登地区簡易水道完成</t>
    <rPh sb="0" eb="2">
      <t>ノノボリ</t>
    </rPh>
    <rPh sb="2" eb="4">
      <t>チク</t>
    </rPh>
    <rPh sb="4" eb="6">
      <t>カンイ</t>
    </rPh>
    <rPh sb="6" eb="8">
      <t>スイドウ</t>
    </rPh>
    <rPh sb="8" eb="10">
      <t>カンセイ</t>
    </rPh>
    <phoneticPr fontId="2"/>
  </si>
  <si>
    <t>東京オリンピック聖火リレー、亀山市、関町を通過</t>
    <rPh sb="0" eb="2">
      <t>トウキョウ</t>
    </rPh>
    <rPh sb="8" eb="10">
      <t>セイカ</t>
    </rPh>
    <rPh sb="14" eb="17">
      <t>カメヤマシ</t>
    </rPh>
    <rPh sb="18" eb="20">
      <t>セキマチ</t>
    </rPh>
    <rPh sb="21" eb="23">
      <t>ツウカ</t>
    </rPh>
    <phoneticPr fontId="2"/>
  </si>
  <si>
    <t>リレーパンフレット　
ランナー写真</t>
    <rPh sb="15" eb="17">
      <t>シャシン</t>
    </rPh>
    <phoneticPr fontId="2"/>
  </si>
  <si>
    <t>『亀山のあゆみ』年表
『鈴鹿関町史』下巻年表
『関町五十周年記念誌』</t>
    <rPh sb="8" eb="10">
      <t>ネ</t>
    </rPh>
    <rPh sb="12" eb="14">
      <t>スズカ</t>
    </rPh>
    <rPh sb="14" eb="16">
      <t>セキチョウ</t>
    </rPh>
    <rPh sb="16" eb="17">
      <t>シ</t>
    </rPh>
    <rPh sb="18" eb="20">
      <t>ゲカン</t>
    </rPh>
    <rPh sb="20" eb="22">
      <t>ネンピョウ</t>
    </rPh>
    <phoneticPr fontId="2"/>
  </si>
  <si>
    <t>亀山市制10周年記念式典挙行
市民憲章を制定</t>
    <rPh sb="0" eb="3">
      <t>カメヤマシ</t>
    </rPh>
    <rPh sb="3" eb="4">
      <t>セイ</t>
    </rPh>
    <rPh sb="6" eb="8">
      <t>シュウネン</t>
    </rPh>
    <rPh sb="8" eb="10">
      <t>キネン</t>
    </rPh>
    <rPh sb="10" eb="12">
      <t>シキテン</t>
    </rPh>
    <rPh sb="12" eb="14">
      <t>キョコウ</t>
    </rPh>
    <rPh sb="15" eb="17">
      <t>シミン</t>
    </rPh>
    <rPh sb="17" eb="19">
      <t>ケンショウ</t>
    </rPh>
    <rPh sb="20" eb="22">
      <t>セイテイ</t>
    </rPh>
    <phoneticPr fontId="2"/>
  </si>
  <si>
    <t>川崎地区有線放送開通
既設の野登、白川、神辺と通話可能になる</t>
    <rPh sb="0" eb="2">
      <t>カワサキ</t>
    </rPh>
    <rPh sb="2" eb="4">
      <t>チク</t>
    </rPh>
    <rPh sb="4" eb="6">
      <t>ユウセン</t>
    </rPh>
    <rPh sb="6" eb="8">
      <t>ホウソウ</t>
    </rPh>
    <rPh sb="8" eb="10">
      <t>カイツウ</t>
    </rPh>
    <rPh sb="11" eb="13">
      <t>キセツ</t>
    </rPh>
    <rPh sb="14" eb="16">
      <t>ノノボリ</t>
    </rPh>
    <rPh sb="17" eb="19">
      <t>シラカワ</t>
    </rPh>
    <rPh sb="20" eb="22">
      <t>カンベ</t>
    </rPh>
    <rPh sb="23" eb="25">
      <t>ツウワ</t>
    </rPh>
    <rPh sb="25" eb="27">
      <t>カノウ</t>
    </rPh>
    <phoneticPr fontId="2"/>
  </si>
  <si>
    <t>町道向井中之橋完成</t>
    <rPh sb="0" eb="1">
      <t>マチ</t>
    </rPh>
    <rPh sb="1" eb="2">
      <t>ミチ</t>
    </rPh>
    <rPh sb="2" eb="4">
      <t>ムカイ</t>
    </rPh>
    <rPh sb="4" eb="5">
      <t>ナカ</t>
    </rPh>
    <rPh sb="5" eb="6">
      <t>ノ</t>
    </rPh>
    <rPh sb="6" eb="7">
      <t>ハシ</t>
    </rPh>
    <rPh sb="7" eb="9">
      <t>カンセイ</t>
    </rPh>
    <phoneticPr fontId="2"/>
  </si>
  <si>
    <t>向井中之橋</t>
  </si>
  <si>
    <t>名阪国道起工式</t>
    <rPh sb="4" eb="7">
      <t>キコウシキ</t>
    </rPh>
    <phoneticPr fontId="2"/>
  </si>
  <si>
    <t>名阪国道</t>
  </si>
  <si>
    <t>日本の歴史の中の亀山／現代の亀山／交通と通信／道路網の整備</t>
    <rPh sb="17" eb="19">
      <t>コウツウ</t>
    </rPh>
    <rPh sb="20" eb="22">
      <t>ツウシン</t>
    </rPh>
    <rPh sb="23" eb="26">
      <t>ドウロモウ</t>
    </rPh>
    <rPh sb="27" eb="29">
      <t>セイビ</t>
    </rPh>
    <phoneticPr fontId="2"/>
  </si>
  <si>
    <t>http://kameyamarekihaku.jp/kodomo/w_e_b/rekishi/gendai/koutsu/page001.html</t>
  </si>
  <si>
    <t>関町役場水道準備室を置く</t>
    <rPh sb="0" eb="2">
      <t>セキチョウ</t>
    </rPh>
    <rPh sb="2" eb="4">
      <t>ヤクバ</t>
    </rPh>
    <rPh sb="4" eb="6">
      <t>スイドウ</t>
    </rPh>
    <rPh sb="6" eb="8">
      <t>ジュンビ</t>
    </rPh>
    <rPh sb="8" eb="9">
      <t>シツ</t>
    </rPh>
    <rPh sb="10" eb="11">
      <t>オ</t>
    </rPh>
    <phoneticPr fontId="2"/>
  </si>
  <si>
    <t>町道関本線（第２期、小野・新所地内）舗装完成</t>
    <rPh sb="0" eb="1">
      <t>マチ</t>
    </rPh>
    <rPh sb="1" eb="2">
      <t>ミチ</t>
    </rPh>
    <rPh sb="2" eb="3">
      <t>セキ</t>
    </rPh>
    <rPh sb="3" eb="5">
      <t>ホンセン</t>
    </rPh>
    <rPh sb="6" eb="7">
      <t>ダイ</t>
    </rPh>
    <rPh sb="8" eb="9">
      <t>キ</t>
    </rPh>
    <rPh sb="10" eb="12">
      <t>オノ</t>
    </rPh>
    <rPh sb="13" eb="14">
      <t>シン</t>
    </rPh>
    <rPh sb="14" eb="15">
      <t>ショ</t>
    </rPh>
    <rPh sb="15" eb="16">
      <t>チ</t>
    </rPh>
    <rPh sb="16" eb="17">
      <t>ナイ</t>
    </rPh>
    <rPh sb="18" eb="20">
      <t>ホソウ</t>
    </rPh>
    <rPh sb="20" eb="22">
      <t>カンセイ</t>
    </rPh>
    <phoneticPr fontId="2"/>
  </si>
  <si>
    <t>関町小野・関町新所</t>
    <rPh sb="0" eb="1">
      <t>セキ</t>
    </rPh>
    <rPh sb="1" eb="2">
      <t>チョウ</t>
    </rPh>
    <rPh sb="2" eb="4">
      <t>オノ</t>
    </rPh>
    <rPh sb="5" eb="6">
      <t>セキ</t>
    </rPh>
    <rPh sb="6" eb="7">
      <t>チョウ</t>
    </rPh>
    <rPh sb="7" eb="8">
      <t>シン</t>
    </rPh>
    <rPh sb="8" eb="9">
      <t>ショ</t>
    </rPh>
    <phoneticPr fontId="2"/>
  </si>
  <si>
    <t>町道関本線</t>
  </si>
  <si>
    <t>名阪国道、関トンネル、加太トンネル貫通</t>
    <rPh sb="0" eb="2">
      <t>メイハン</t>
    </rPh>
    <rPh sb="2" eb="4">
      <t>コクドウ</t>
    </rPh>
    <rPh sb="5" eb="6">
      <t>セキ</t>
    </rPh>
    <rPh sb="11" eb="13">
      <t>カブト</t>
    </rPh>
    <rPh sb="17" eb="19">
      <t>カンツウ</t>
    </rPh>
    <phoneticPr fontId="2"/>
  </si>
  <si>
    <t>日本の歴史の中の亀山／現代の亀山／交通と通信／道路網の整備</t>
    <phoneticPr fontId="2"/>
  </si>
  <si>
    <t>重化学工業がめざましく発達し,貿易ものびるが、公害が目立つようになる</t>
  </si>
  <si>
    <t>昭和40</t>
  </si>
  <si>
    <t>日韓基本条約を結ぶ</t>
  </si>
  <si>
    <t>し尿汲取料金改定（ふん尿、バキューム車18ℓ10円が15円、桶汲取18ℓ15円が20円になる）</t>
    <rPh sb="1" eb="2">
      <t>ニョウ</t>
    </rPh>
    <rPh sb="2" eb="3">
      <t>ク</t>
    </rPh>
    <rPh sb="3" eb="4">
      <t>ト</t>
    </rPh>
    <rPh sb="4" eb="6">
      <t>リョウキン</t>
    </rPh>
    <rPh sb="6" eb="8">
      <t>カイテイ</t>
    </rPh>
    <rPh sb="11" eb="12">
      <t>ニョウ</t>
    </rPh>
    <rPh sb="18" eb="19">
      <t>クルマ</t>
    </rPh>
    <rPh sb="24" eb="25">
      <t>エン</t>
    </rPh>
    <rPh sb="28" eb="29">
      <t>エン</t>
    </rPh>
    <rPh sb="30" eb="31">
      <t>オケ</t>
    </rPh>
    <rPh sb="31" eb="32">
      <t>ク</t>
    </rPh>
    <rPh sb="32" eb="33">
      <t>ト</t>
    </rPh>
    <rPh sb="38" eb="39">
      <t>エン</t>
    </rPh>
    <rPh sb="42" eb="43">
      <t>エン</t>
    </rPh>
    <phoneticPr fontId="2"/>
  </si>
  <si>
    <t>東町～国道１号（北山岩原線）の舗装工事449ｍ完成</t>
    <rPh sb="0" eb="2">
      <t>ヒガシマチ</t>
    </rPh>
    <rPh sb="3" eb="5">
      <t>コクドウ</t>
    </rPh>
    <rPh sb="6" eb="7">
      <t>ゴウ</t>
    </rPh>
    <rPh sb="8" eb="10">
      <t>キタヤマ</t>
    </rPh>
    <rPh sb="10" eb="12">
      <t>イワハラ</t>
    </rPh>
    <rPh sb="12" eb="13">
      <t>セン</t>
    </rPh>
    <rPh sb="15" eb="17">
      <t>ホソウ</t>
    </rPh>
    <rPh sb="17" eb="19">
      <t>コウジ</t>
    </rPh>
    <rPh sb="23" eb="25">
      <t>カンセイ</t>
    </rPh>
    <phoneticPr fontId="2"/>
  </si>
  <si>
    <t>国道１号</t>
    <phoneticPr fontId="2"/>
  </si>
  <si>
    <t>同和対策審議会の答申が出される</t>
  </si>
  <si>
    <t>亀山橋が永久橋となる</t>
    <rPh sb="0" eb="2">
      <t>カメヤマ</t>
    </rPh>
    <rPh sb="2" eb="3">
      <t>ハシ</t>
    </rPh>
    <rPh sb="4" eb="6">
      <t>エイキュウ</t>
    </rPh>
    <rPh sb="6" eb="7">
      <t>ハシ</t>
    </rPh>
    <phoneticPr fontId="2"/>
  </si>
  <si>
    <t>東御幸町</t>
    <phoneticPr fontId="2"/>
  </si>
  <si>
    <t>亀山橋</t>
  </si>
  <si>
    <t>『亀山のあゆみ』年表</t>
  </si>
  <si>
    <t>野登小学校に市内初のプールが完成</t>
    <rPh sb="0" eb="2">
      <t>ノノボリ</t>
    </rPh>
    <rPh sb="2" eb="5">
      <t>ショウガッコウ</t>
    </rPh>
    <rPh sb="6" eb="8">
      <t>シナイ</t>
    </rPh>
    <rPh sb="8" eb="9">
      <t>ハツ</t>
    </rPh>
    <rPh sb="14" eb="16">
      <t>カンセイ</t>
    </rPh>
    <phoneticPr fontId="2"/>
  </si>
  <si>
    <t>学校のあゆみ／野登小学校のれきし</t>
    <phoneticPr fontId="2"/>
  </si>
  <si>
    <t>亀山衣料協同組合（本町）結成</t>
    <rPh sb="0" eb="2">
      <t>カメヤマ</t>
    </rPh>
    <rPh sb="2" eb="4">
      <t>イリョウ</t>
    </rPh>
    <rPh sb="4" eb="5">
      <t>キョウ</t>
    </rPh>
    <rPh sb="5" eb="6">
      <t>ドウ</t>
    </rPh>
    <rPh sb="6" eb="8">
      <t>クミアイ</t>
    </rPh>
    <rPh sb="9" eb="11">
      <t>ホンマチ</t>
    </rPh>
    <rPh sb="12" eb="14">
      <t>ケッセイ</t>
    </rPh>
    <phoneticPr fontId="2"/>
  </si>
  <si>
    <t>亀山衣料協同組合</t>
    <rPh sb="4" eb="5">
      <t>キョウ</t>
    </rPh>
    <phoneticPr fontId="2"/>
  </si>
  <si>
    <t>上水道通水式
京口坂以西の374戸に給水開始</t>
    <rPh sb="0" eb="3">
      <t>ジョウスイドウ</t>
    </rPh>
    <rPh sb="3" eb="5">
      <t>ツウスイ</t>
    </rPh>
    <rPh sb="5" eb="6">
      <t>シキ</t>
    </rPh>
    <rPh sb="7" eb="9">
      <t>キョウグチ</t>
    </rPh>
    <rPh sb="9" eb="10">
      <t>サカ</t>
    </rPh>
    <rPh sb="10" eb="12">
      <t>イセイ</t>
    </rPh>
    <rPh sb="16" eb="17">
      <t>コ</t>
    </rPh>
    <rPh sb="18" eb="20">
      <t>キュウスイ</t>
    </rPh>
    <rPh sb="20" eb="22">
      <t>カイシ</t>
    </rPh>
    <phoneticPr fontId="2"/>
  </si>
  <si>
    <t>東御幸町の国道1号に市内初の信号機設置</t>
    <rPh sb="0" eb="1">
      <t>ヒガシ</t>
    </rPh>
    <rPh sb="1" eb="4">
      <t>ミユキチョウ</t>
    </rPh>
    <rPh sb="5" eb="7">
      <t>コクドウ</t>
    </rPh>
    <rPh sb="8" eb="9">
      <t>ゴウ</t>
    </rPh>
    <rPh sb="10" eb="12">
      <t>シナイ</t>
    </rPh>
    <rPh sb="12" eb="13">
      <t>ハツ</t>
    </rPh>
    <rPh sb="14" eb="17">
      <t>シンゴウキ</t>
    </rPh>
    <rPh sb="17" eb="19">
      <t>セッチ</t>
    </rPh>
    <phoneticPr fontId="2"/>
  </si>
  <si>
    <t>国道1号</t>
    <phoneticPr fontId="2"/>
  </si>
  <si>
    <t>亀山演武場開場百年記念式</t>
    <rPh sb="0" eb="2">
      <t>カメヤマ</t>
    </rPh>
    <rPh sb="2" eb="4">
      <t>エンブ</t>
    </rPh>
    <rPh sb="4" eb="5">
      <t>バ</t>
    </rPh>
    <rPh sb="5" eb="7">
      <t>カイジョウ</t>
    </rPh>
    <rPh sb="7" eb="9">
      <t>ヒャクネン</t>
    </rPh>
    <rPh sb="9" eb="11">
      <t>キネン</t>
    </rPh>
    <rPh sb="11" eb="12">
      <t>シキ</t>
    </rPh>
    <phoneticPr fontId="2"/>
  </si>
  <si>
    <t>亀山演武場</t>
    <phoneticPr fontId="2"/>
  </si>
  <si>
    <t>鈴鹿川・安楽川砂利採取販売協同組合（東丸町）結成</t>
    <rPh sb="4" eb="6">
      <t>アンラク</t>
    </rPh>
    <rPh sb="6" eb="7">
      <t>ガワ</t>
    </rPh>
    <rPh sb="7" eb="9">
      <t>ジャリ</t>
    </rPh>
    <rPh sb="9" eb="11">
      <t>サイシュ</t>
    </rPh>
    <rPh sb="11" eb="13">
      <t>ハンバイ</t>
    </rPh>
    <rPh sb="13" eb="14">
      <t>キョウ</t>
    </rPh>
    <rPh sb="14" eb="15">
      <t>ドウ</t>
    </rPh>
    <rPh sb="15" eb="17">
      <t>クミアイ</t>
    </rPh>
    <rPh sb="18" eb="19">
      <t>ヒガシ</t>
    </rPh>
    <rPh sb="19" eb="20">
      <t>マル</t>
    </rPh>
    <rPh sb="20" eb="21">
      <t>チョウ</t>
    </rPh>
    <rPh sb="22" eb="24">
      <t>ケッセイ</t>
    </rPh>
    <phoneticPr fontId="2"/>
  </si>
  <si>
    <t>東丸町</t>
    <rPh sb="0" eb="3">
      <t>ヒガシマルチョウ</t>
    </rPh>
    <phoneticPr fontId="2"/>
  </si>
  <si>
    <t>鈴鹿亀山地区広域行政推進協議会発足（亀山市・鈴鹿市・関町・鈴峰村）</t>
    <rPh sb="2" eb="4">
      <t>カメヤマ</t>
    </rPh>
    <rPh sb="4" eb="6">
      <t>チク</t>
    </rPh>
    <rPh sb="6" eb="8">
      <t>コウイキ</t>
    </rPh>
    <rPh sb="8" eb="10">
      <t>ギョウセイ</t>
    </rPh>
    <rPh sb="10" eb="12">
      <t>スイシン</t>
    </rPh>
    <rPh sb="12" eb="15">
      <t>キョウギカイ</t>
    </rPh>
    <rPh sb="15" eb="17">
      <t>ホッソク</t>
    </rPh>
    <rPh sb="18" eb="21">
      <t>カメヤマシ</t>
    </rPh>
    <rPh sb="22" eb="25">
      <t>スズカシ</t>
    </rPh>
    <rPh sb="26" eb="28">
      <t>セキマチ</t>
    </rPh>
    <rPh sb="29" eb="30">
      <t>スズ</t>
    </rPh>
    <rPh sb="30" eb="31">
      <t>ミネ</t>
    </rPh>
    <rPh sb="31" eb="32">
      <t>ムラ</t>
    </rPh>
    <phoneticPr fontId="2"/>
  </si>
  <si>
    <t>『亀山のあゆみ』年表
『鈴鹿関町史』下巻年表</t>
    <rPh sb="8" eb="10">
      <t>ネ</t>
    </rPh>
    <rPh sb="12" eb="14">
      <t>スズカ</t>
    </rPh>
    <rPh sb="14" eb="16">
      <t>セキチョウ</t>
    </rPh>
    <rPh sb="16" eb="17">
      <t>シ</t>
    </rPh>
    <rPh sb="18" eb="20">
      <t>ゲカン</t>
    </rPh>
    <rPh sb="20" eb="22">
      <t>ネンピョウ</t>
    </rPh>
    <phoneticPr fontId="2"/>
  </si>
  <si>
    <t>亀山茶農業協同組合設立</t>
    <rPh sb="0" eb="2">
      <t>カメヤマ</t>
    </rPh>
    <rPh sb="2" eb="3">
      <t>チャ</t>
    </rPh>
    <rPh sb="3" eb="5">
      <t>ノウギョウ</t>
    </rPh>
    <rPh sb="5" eb="7">
      <t>キョウドウ</t>
    </rPh>
    <rPh sb="7" eb="9">
      <t>クミアイ</t>
    </rPh>
    <rPh sb="9" eb="11">
      <t>セツリツ</t>
    </rPh>
    <phoneticPr fontId="2"/>
  </si>
  <si>
    <t>名阪国道亀山～天理間開通</t>
    <rPh sb="4" eb="6">
      <t>カメヤマ</t>
    </rPh>
    <rPh sb="7" eb="9">
      <t>テンリ</t>
    </rPh>
    <rPh sb="9" eb="10">
      <t>アイダ</t>
    </rPh>
    <phoneticPr fontId="2"/>
  </si>
  <si>
    <t>日本の歴史の中の亀山／現代の亀山／交通と通信／道路網の整備</t>
    <phoneticPr fontId="2"/>
  </si>
  <si>
    <t>『亀山のあゆみ』年表
『鈴鹿関町史』下巻年表
『関町五十周年記念誌』</t>
    <rPh sb="8" eb="10">
      <t>ネ</t>
    </rPh>
    <phoneticPr fontId="2"/>
  </si>
  <si>
    <t>坂下郵便局が沓掛80に局舎新築落成</t>
    <rPh sb="0" eb="2">
      <t>サカシタ</t>
    </rPh>
    <rPh sb="2" eb="5">
      <t>ユウビンキョク</t>
    </rPh>
    <rPh sb="6" eb="8">
      <t>クツカケ</t>
    </rPh>
    <rPh sb="11" eb="12">
      <t>キョク</t>
    </rPh>
    <rPh sb="12" eb="13">
      <t>シャ</t>
    </rPh>
    <rPh sb="13" eb="15">
      <t>シンチク</t>
    </rPh>
    <rPh sb="15" eb="17">
      <t>ラクセイ</t>
    </rPh>
    <phoneticPr fontId="2"/>
  </si>
  <si>
    <t>関町沓掛</t>
    <rPh sb="0" eb="1">
      <t>セキ</t>
    </rPh>
    <rPh sb="1" eb="2">
      <t>チョウ</t>
    </rPh>
    <phoneticPr fontId="2"/>
  </si>
  <si>
    <t>坂下郵便局</t>
    <phoneticPr fontId="2"/>
  </si>
  <si>
    <t>農業共済事業を関町にて実施</t>
    <rPh sb="0" eb="2">
      <t>ノウギョウ</t>
    </rPh>
    <rPh sb="2" eb="4">
      <t>キョウサイ</t>
    </rPh>
    <rPh sb="4" eb="6">
      <t>ジギョウ</t>
    </rPh>
    <rPh sb="7" eb="9">
      <t>セキチョウ</t>
    </rPh>
    <rPh sb="11" eb="13">
      <t>ジッシ</t>
    </rPh>
    <phoneticPr fontId="2"/>
  </si>
  <si>
    <t>関中学校水泳プール完成</t>
    <rPh sb="0" eb="1">
      <t>セキ</t>
    </rPh>
    <rPh sb="1" eb="4">
      <t>チュウガッコウ</t>
    </rPh>
    <rPh sb="4" eb="6">
      <t>スイエイ</t>
    </rPh>
    <rPh sb="9" eb="11">
      <t>カンセイ</t>
    </rPh>
    <phoneticPr fontId="2"/>
  </si>
  <si>
    <t>関中学校</t>
    <phoneticPr fontId="2"/>
  </si>
  <si>
    <t>加太郵便局、局舎新築完成</t>
    <rPh sb="0" eb="2">
      <t>カブト</t>
    </rPh>
    <rPh sb="2" eb="5">
      <t>ユウビンキョク</t>
    </rPh>
    <rPh sb="6" eb="7">
      <t>キョク</t>
    </rPh>
    <rPh sb="7" eb="8">
      <t>シャ</t>
    </rPh>
    <rPh sb="8" eb="10">
      <t>シンチク</t>
    </rPh>
    <rPh sb="10" eb="12">
      <t>カンセイ</t>
    </rPh>
    <phoneticPr fontId="2"/>
  </si>
  <si>
    <t>片山神社境内に「鈴鹿流薙刀術発生之地」建碑</t>
    <rPh sb="0" eb="1">
      <t>カタ</t>
    </rPh>
    <rPh sb="1" eb="2">
      <t>ヤマ</t>
    </rPh>
    <rPh sb="2" eb="4">
      <t>ジンジャ</t>
    </rPh>
    <rPh sb="4" eb="6">
      <t>ケイダイ</t>
    </rPh>
    <rPh sb="8" eb="10">
      <t>スズカ</t>
    </rPh>
    <rPh sb="10" eb="11">
      <t>リュウ</t>
    </rPh>
    <rPh sb="11" eb="13">
      <t>ナギナタ</t>
    </rPh>
    <rPh sb="13" eb="14">
      <t>ジュツ</t>
    </rPh>
    <rPh sb="14" eb="16">
      <t>ハッセイ</t>
    </rPh>
    <rPh sb="16" eb="17">
      <t>ノ</t>
    </rPh>
    <rPh sb="17" eb="18">
      <t>チ</t>
    </rPh>
    <rPh sb="19" eb="21">
      <t>ケンピ</t>
    </rPh>
    <phoneticPr fontId="2"/>
  </si>
  <si>
    <t>片山神社</t>
    <phoneticPr fontId="2"/>
  </si>
  <si>
    <t>台風24号被害甚大
関町では、非住家全壊4戸、床上浸水1戸、床下浸水１0戸、町道決壊12ヵ所、橋梁流出５ヵ所、農地埋没など280町歩</t>
    <rPh sb="0" eb="2">
      <t>タイフウ</t>
    </rPh>
    <rPh sb="4" eb="5">
      <t>ゴウ</t>
    </rPh>
    <rPh sb="5" eb="7">
      <t>ヒガイ</t>
    </rPh>
    <rPh sb="7" eb="9">
      <t>ジンダイ</t>
    </rPh>
    <rPh sb="10" eb="12">
      <t>セキチョウ</t>
    </rPh>
    <rPh sb="15" eb="16">
      <t>ヒ</t>
    </rPh>
    <rPh sb="16" eb="17">
      <t>ス</t>
    </rPh>
    <rPh sb="17" eb="18">
      <t>イエ</t>
    </rPh>
    <rPh sb="18" eb="20">
      <t>ゼンカイ</t>
    </rPh>
    <rPh sb="21" eb="22">
      <t>コ</t>
    </rPh>
    <rPh sb="23" eb="25">
      <t>ユカウエ</t>
    </rPh>
    <rPh sb="25" eb="27">
      <t>シンスイ</t>
    </rPh>
    <rPh sb="28" eb="29">
      <t>コ</t>
    </rPh>
    <rPh sb="30" eb="32">
      <t>ユカシタ</t>
    </rPh>
    <rPh sb="32" eb="34">
      <t>シンスイ</t>
    </rPh>
    <rPh sb="36" eb="37">
      <t>コ</t>
    </rPh>
    <rPh sb="38" eb="39">
      <t>マチ</t>
    </rPh>
    <rPh sb="39" eb="40">
      <t>ミチ</t>
    </rPh>
    <rPh sb="40" eb="42">
      <t>ケッカイ</t>
    </rPh>
    <rPh sb="45" eb="46">
      <t>ショ</t>
    </rPh>
    <rPh sb="47" eb="49">
      <t>キョウリョウ</t>
    </rPh>
    <rPh sb="49" eb="51">
      <t>リュウシュツ</t>
    </rPh>
    <rPh sb="53" eb="54">
      <t>ショ</t>
    </rPh>
    <rPh sb="55" eb="57">
      <t>ノウチ</t>
    </rPh>
    <rPh sb="57" eb="59">
      <t>マイボツ</t>
    </rPh>
    <rPh sb="64" eb="65">
      <t>マチ</t>
    </rPh>
    <rPh sb="65" eb="66">
      <t>ホ</t>
    </rPh>
    <phoneticPr fontId="2"/>
  </si>
  <si>
    <t>昭和41</t>
    <phoneticPr fontId="2"/>
  </si>
  <si>
    <t>三重交通バス亀山天理間、国鉄バス亀山柘植間、それぞれ名阪国道に乗り入れ営業開始</t>
    <rPh sb="0" eb="2">
      <t>ミエ</t>
    </rPh>
    <rPh sb="2" eb="4">
      <t>コウツウ</t>
    </rPh>
    <rPh sb="6" eb="8">
      <t>カメヤマ</t>
    </rPh>
    <rPh sb="8" eb="10">
      <t>テンリ</t>
    </rPh>
    <rPh sb="10" eb="11">
      <t>アイダ</t>
    </rPh>
    <rPh sb="12" eb="14">
      <t>コクテツ</t>
    </rPh>
    <rPh sb="16" eb="18">
      <t>カメヤマ</t>
    </rPh>
    <rPh sb="18" eb="20">
      <t>ツゲ</t>
    </rPh>
    <rPh sb="20" eb="21">
      <t>アイダ</t>
    </rPh>
    <rPh sb="26" eb="28">
      <t>メイハン</t>
    </rPh>
    <rPh sb="28" eb="30">
      <t>コクドウ</t>
    </rPh>
    <rPh sb="31" eb="32">
      <t>ノ</t>
    </rPh>
    <rPh sb="33" eb="34">
      <t>イ</t>
    </rPh>
    <rPh sb="35" eb="37">
      <t>エイギョウ</t>
    </rPh>
    <rPh sb="37" eb="39">
      <t>カイシ</t>
    </rPh>
    <phoneticPr fontId="2"/>
  </si>
  <si>
    <t>三重交通バス・国鉄バス</t>
    <phoneticPr fontId="2"/>
  </si>
  <si>
    <t>『亀山のあゆみ』年表
『鈴鹿関町史』下巻年表</t>
    <rPh sb="12" eb="14">
      <t>スズカ</t>
    </rPh>
    <rPh sb="14" eb="16">
      <t>セキチョウ</t>
    </rPh>
    <rPh sb="16" eb="17">
      <t>シ</t>
    </rPh>
    <rPh sb="18" eb="20">
      <t>ゲカン</t>
    </rPh>
    <rPh sb="20" eb="22">
      <t>ネンピョウ</t>
    </rPh>
    <phoneticPr fontId="2"/>
  </si>
  <si>
    <t>市内商店の掛売集金日を毎月25日〆切の月末集金に統一する</t>
    <rPh sb="0" eb="1">
      <t>シ</t>
    </rPh>
    <rPh sb="1" eb="2">
      <t>ナイ</t>
    </rPh>
    <rPh sb="2" eb="4">
      <t>ショウテン</t>
    </rPh>
    <rPh sb="5" eb="6">
      <t>カ</t>
    </rPh>
    <rPh sb="6" eb="7">
      <t>ウ</t>
    </rPh>
    <rPh sb="7" eb="9">
      <t>シュウキン</t>
    </rPh>
    <rPh sb="9" eb="10">
      <t>ヒ</t>
    </rPh>
    <rPh sb="11" eb="13">
      <t>マイツキ</t>
    </rPh>
    <rPh sb="15" eb="16">
      <t>ニチ</t>
    </rPh>
    <rPh sb="16" eb="18">
      <t>シメキリ</t>
    </rPh>
    <rPh sb="19" eb="21">
      <t>ゲツマツ</t>
    </rPh>
    <rPh sb="21" eb="23">
      <t>シュウキン</t>
    </rPh>
    <rPh sb="24" eb="26">
      <t>トウイツ</t>
    </rPh>
    <phoneticPr fontId="2"/>
  </si>
  <si>
    <t>太岡寺町に神辺保育園完成</t>
    <rPh sb="0" eb="4">
      <t>タイコウジチョウ</t>
    </rPh>
    <rPh sb="5" eb="7">
      <t>カンベ</t>
    </rPh>
    <rPh sb="7" eb="9">
      <t>ホイク</t>
    </rPh>
    <rPh sb="9" eb="10">
      <t>エン</t>
    </rPh>
    <rPh sb="10" eb="12">
      <t>カンセイ</t>
    </rPh>
    <phoneticPr fontId="2"/>
  </si>
  <si>
    <t>神辺</t>
    <phoneticPr fontId="2"/>
  </si>
  <si>
    <t>神辺保育園</t>
    <phoneticPr fontId="2"/>
  </si>
  <si>
    <t>『亀山のあゆみ』P.364・年表</t>
    <phoneticPr fontId="2"/>
  </si>
  <si>
    <t>亀山砂利採取販売組合（東丸町）結成</t>
    <rPh sb="0" eb="2">
      <t>カメヤマ</t>
    </rPh>
    <rPh sb="2" eb="4">
      <t>ジャリ</t>
    </rPh>
    <rPh sb="4" eb="6">
      <t>サイシュ</t>
    </rPh>
    <rPh sb="6" eb="8">
      <t>ハンバイ</t>
    </rPh>
    <rPh sb="8" eb="10">
      <t>クミアイ</t>
    </rPh>
    <rPh sb="11" eb="12">
      <t>ヒガシ</t>
    </rPh>
    <rPh sb="12" eb="13">
      <t>マル</t>
    </rPh>
    <rPh sb="13" eb="14">
      <t>マチ</t>
    </rPh>
    <rPh sb="15" eb="17">
      <t>ケッセイ</t>
    </rPh>
    <phoneticPr fontId="2"/>
  </si>
  <si>
    <t>亀山砂利採取販売組合</t>
  </si>
  <si>
    <t>北町の亀山測候所が閉鎖、四日市市へ移転</t>
    <rPh sb="0" eb="2">
      <t>キタマチ</t>
    </rPh>
    <rPh sb="3" eb="5">
      <t>カメヤマ</t>
    </rPh>
    <rPh sb="5" eb="7">
      <t>ソッコウ</t>
    </rPh>
    <rPh sb="7" eb="8">
      <t>ショ</t>
    </rPh>
    <rPh sb="9" eb="11">
      <t>ヘイサ</t>
    </rPh>
    <rPh sb="12" eb="15">
      <t>ヨッカイチ</t>
    </rPh>
    <rPh sb="15" eb="16">
      <t>シ</t>
    </rPh>
    <rPh sb="17" eb="19">
      <t>イテン</t>
    </rPh>
    <phoneticPr fontId="2"/>
  </si>
  <si>
    <t>北町</t>
    <rPh sb="0" eb="2">
      <t>キタマチ</t>
    </rPh>
    <phoneticPr fontId="2"/>
  </si>
  <si>
    <t>亀山測候所</t>
  </si>
  <si>
    <t>亀山市農協と亀山農協が合併、亀山市農業協同組合として発足</t>
    <rPh sb="0" eb="3">
      <t>カメヤマシ</t>
    </rPh>
    <rPh sb="3" eb="5">
      <t>ノウキョウ</t>
    </rPh>
    <rPh sb="6" eb="8">
      <t>カメヤマ</t>
    </rPh>
    <rPh sb="8" eb="10">
      <t>ノウキョウ</t>
    </rPh>
    <rPh sb="11" eb="13">
      <t>ガッペイ</t>
    </rPh>
    <rPh sb="14" eb="17">
      <t>カメヤマシ</t>
    </rPh>
    <rPh sb="17" eb="19">
      <t>ノウギョウ</t>
    </rPh>
    <rPh sb="19" eb="21">
      <t>キョウドウ</t>
    </rPh>
    <rPh sb="21" eb="23">
      <t>クミアイ</t>
    </rPh>
    <rPh sb="26" eb="28">
      <t>ホッソク</t>
    </rPh>
    <phoneticPr fontId="2"/>
  </si>
  <si>
    <t>亀山西小で日本体育祭亀山大会開催</t>
    <rPh sb="0" eb="2">
      <t>カメヤマ</t>
    </rPh>
    <rPh sb="2" eb="3">
      <t>ニシ</t>
    </rPh>
    <rPh sb="3" eb="4">
      <t>ショウ</t>
    </rPh>
    <rPh sb="5" eb="7">
      <t>ニホン</t>
    </rPh>
    <rPh sb="7" eb="9">
      <t>タイイク</t>
    </rPh>
    <rPh sb="9" eb="10">
      <t>マツ</t>
    </rPh>
    <rPh sb="10" eb="12">
      <t>カメヤマ</t>
    </rPh>
    <rPh sb="12" eb="14">
      <t>タイカイ</t>
    </rPh>
    <rPh sb="14" eb="16">
      <t>カイサイ</t>
    </rPh>
    <phoneticPr fontId="2"/>
  </si>
  <si>
    <t>野村町に衛生公苑（し尿処理場）が完成</t>
    <rPh sb="0" eb="2">
      <t>ノムラ</t>
    </rPh>
    <rPh sb="2" eb="3">
      <t>マチ</t>
    </rPh>
    <rPh sb="4" eb="6">
      <t>エイセイ</t>
    </rPh>
    <rPh sb="6" eb="8">
      <t>コウエン</t>
    </rPh>
    <rPh sb="10" eb="11">
      <t>ニョウ</t>
    </rPh>
    <rPh sb="11" eb="13">
      <t>ショリ</t>
    </rPh>
    <rPh sb="13" eb="14">
      <t>バ</t>
    </rPh>
    <rPh sb="16" eb="18">
      <t>カンセイ</t>
    </rPh>
    <phoneticPr fontId="2"/>
  </si>
  <si>
    <t>野村町</t>
    <phoneticPr fontId="2"/>
  </si>
  <si>
    <t>衛生公苑（し尿処理場）</t>
  </si>
  <si>
    <t>『亀山のあゆみ』P.297・年表</t>
    <phoneticPr fontId="2"/>
  </si>
  <si>
    <t>汲取料金改正（180ℓまで200円、180ℓを超えて18ℓを増すごとに20円加算、ホース30ｍ超えて１５mのばすごとに50円加算）</t>
    <rPh sb="0" eb="1">
      <t>ク</t>
    </rPh>
    <rPh sb="1" eb="2">
      <t>ト</t>
    </rPh>
    <rPh sb="2" eb="4">
      <t>リョウキン</t>
    </rPh>
    <rPh sb="4" eb="6">
      <t>カイセイ</t>
    </rPh>
    <rPh sb="16" eb="17">
      <t>エン</t>
    </rPh>
    <rPh sb="23" eb="24">
      <t>コ</t>
    </rPh>
    <rPh sb="30" eb="31">
      <t>マ</t>
    </rPh>
    <rPh sb="37" eb="38">
      <t>エン</t>
    </rPh>
    <rPh sb="38" eb="40">
      <t>カサン</t>
    </rPh>
    <rPh sb="47" eb="48">
      <t>コ</t>
    </rPh>
    <rPh sb="61" eb="62">
      <t>エン</t>
    </rPh>
    <rPh sb="62" eb="64">
      <t>カサン</t>
    </rPh>
    <phoneticPr fontId="2"/>
  </si>
  <si>
    <t>亀山東小学校に亀山市内で２番目のプールが完成</t>
    <rPh sb="0" eb="2">
      <t>カメヤマ</t>
    </rPh>
    <rPh sb="2" eb="3">
      <t>ヒガシ</t>
    </rPh>
    <rPh sb="3" eb="6">
      <t>ショウガッコウ</t>
    </rPh>
    <rPh sb="7" eb="9">
      <t>カメヤマ</t>
    </rPh>
    <rPh sb="9" eb="11">
      <t>シナイ</t>
    </rPh>
    <rPh sb="13" eb="15">
      <t>バンメ</t>
    </rPh>
    <rPh sb="20" eb="22">
      <t>カンセイ</t>
    </rPh>
    <phoneticPr fontId="2"/>
  </si>
  <si>
    <t>亀山東小学校</t>
    <phoneticPr fontId="2"/>
  </si>
  <si>
    <t>学校のあゆみ／亀山東小学校のれきし</t>
    <phoneticPr fontId="2"/>
  </si>
  <si>
    <t>『亀山のあゆみ』年表P.398・年表</t>
    <rPh sb="16" eb="18">
      <t>ネ</t>
    </rPh>
    <phoneticPr fontId="2"/>
  </si>
  <si>
    <t>関町中部地区簡易水道試験給水開始（4月1日より本格的給水を開始、給水地域は市瀬・新所・中町・木崎・小野・古厩・萩原）</t>
    <rPh sb="0" eb="2">
      <t>セキチョウ</t>
    </rPh>
    <rPh sb="2" eb="4">
      <t>チュウブ</t>
    </rPh>
    <rPh sb="4" eb="6">
      <t>チク</t>
    </rPh>
    <rPh sb="6" eb="8">
      <t>カンイ</t>
    </rPh>
    <rPh sb="8" eb="10">
      <t>スイドウ</t>
    </rPh>
    <rPh sb="10" eb="12">
      <t>シケン</t>
    </rPh>
    <rPh sb="12" eb="14">
      <t>キュウスイ</t>
    </rPh>
    <rPh sb="14" eb="16">
      <t>カイシ</t>
    </rPh>
    <rPh sb="18" eb="19">
      <t>ガツ</t>
    </rPh>
    <rPh sb="20" eb="21">
      <t>ニチ</t>
    </rPh>
    <rPh sb="23" eb="25">
      <t>ホンカク</t>
    </rPh>
    <rPh sb="25" eb="26">
      <t>テキ</t>
    </rPh>
    <rPh sb="26" eb="28">
      <t>キュウスイ</t>
    </rPh>
    <rPh sb="29" eb="31">
      <t>カイシ</t>
    </rPh>
    <rPh sb="32" eb="34">
      <t>キュウスイ</t>
    </rPh>
    <rPh sb="34" eb="36">
      <t>チイキ</t>
    </rPh>
    <rPh sb="37" eb="39">
      <t>イチノセ</t>
    </rPh>
    <rPh sb="40" eb="41">
      <t>シン</t>
    </rPh>
    <rPh sb="41" eb="42">
      <t>ショ</t>
    </rPh>
    <rPh sb="43" eb="45">
      <t>ナカマチ</t>
    </rPh>
    <rPh sb="46" eb="47">
      <t>キ</t>
    </rPh>
    <rPh sb="47" eb="48">
      <t>サキ</t>
    </rPh>
    <rPh sb="49" eb="51">
      <t>オノ</t>
    </rPh>
    <rPh sb="52" eb="54">
      <t>フルマヤ</t>
    </rPh>
    <rPh sb="55" eb="57">
      <t>ハギワラ</t>
    </rPh>
    <phoneticPr fontId="2"/>
  </si>
  <si>
    <t>関町中部地区簡易水道</t>
    <phoneticPr fontId="2"/>
  </si>
  <si>
    <t>加太綜合センター完成</t>
    <rPh sb="0" eb="2">
      <t>カブト</t>
    </rPh>
    <rPh sb="2" eb="3">
      <t>ソウ</t>
    </rPh>
    <rPh sb="3" eb="4">
      <t>ゴウ</t>
    </rPh>
    <rPh sb="8" eb="10">
      <t>カンセイ</t>
    </rPh>
    <phoneticPr fontId="2"/>
  </si>
  <si>
    <t>加太綜合センター</t>
    <rPh sb="2" eb="3">
      <t>ソウ</t>
    </rPh>
    <phoneticPr fontId="2"/>
  </si>
  <si>
    <t>昭和41</t>
    <phoneticPr fontId="2"/>
  </si>
  <si>
    <t>地蔵院の青銅製地蔵尊（中町佐野寿ゑをさん寄贈）法隆寺木下円長大僧正により開眼供養</t>
    <rPh sb="0" eb="2">
      <t>ジゾウ</t>
    </rPh>
    <rPh sb="2" eb="3">
      <t>イン</t>
    </rPh>
    <rPh sb="4" eb="7">
      <t>セイドウセイ</t>
    </rPh>
    <rPh sb="7" eb="10">
      <t>ジゾウソン</t>
    </rPh>
    <rPh sb="11" eb="13">
      <t>ナカマチ</t>
    </rPh>
    <rPh sb="13" eb="15">
      <t>サノ</t>
    </rPh>
    <rPh sb="15" eb="16">
      <t>コトブキ</t>
    </rPh>
    <rPh sb="20" eb="22">
      <t>キソウ</t>
    </rPh>
    <rPh sb="23" eb="26">
      <t>ホウリュウジ</t>
    </rPh>
    <rPh sb="26" eb="27">
      <t>キ</t>
    </rPh>
    <rPh sb="27" eb="28">
      <t>シタ</t>
    </rPh>
    <rPh sb="28" eb="29">
      <t>エン</t>
    </rPh>
    <rPh sb="29" eb="30">
      <t>ナガ</t>
    </rPh>
    <rPh sb="30" eb="31">
      <t>ダイ</t>
    </rPh>
    <rPh sb="31" eb="32">
      <t>ソウ</t>
    </rPh>
    <rPh sb="32" eb="33">
      <t>マサ</t>
    </rPh>
    <rPh sb="36" eb="38">
      <t>カイガン</t>
    </rPh>
    <rPh sb="38" eb="40">
      <t>クヨウ</t>
    </rPh>
    <phoneticPr fontId="2"/>
  </si>
  <si>
    <t>地蔵院</t>
    <phoneticPr fontId="2"/>
  </si>
  <si>
    <t>関町交通安全協議会設立</t>
    <rPh sb="0" eb="2">
      <t>セキチョウ</t>
    </rPh>
    <rPh sb="2" eb="4">
      <t>コウツウ</t>
    </rPh>
    <rPh sb="4" eb="6">
      <t>アンゼン</t>
    </rPh>
    <rPh sb="6" eb="9">
      <t>キョウギカイ</t>
    </rPh>
    <rPh sb="9" eb="11">
      <t>セツリツ</t>
    </rPh>
    <phoneticPr fontId="2"/>
  </si>
  <si>
    <t>昭和42</t>
    <phoneticPr fontId="2"/>
  </si>
  <si>
    <t>上水道完工、旧市全域水道完成</t>
    <rPh sb="0" eb="3">
      <t>ジョウスイドウ</t>
    </rPh>
    <rPh sb="3" eb="5">
      <t>カンコウ</t>
    </rPh>
    <rPh sb="6" eb="7">
      <t>キュウ</t>
    </rPh>
    <rPh sb="7" eb="8">
      <t>シ</t>
    </rPh>
    <rPh sb="8" eb="10">
      <t>ゼンイキ</t>
    </rPh>
    <rPh sb="10" eb="12">
      <t>スイドウ</t>
    </rPh>
    <rPh sb="12" eb="14">
      <t>カンセイ</t>
    </rPh>
    <phoneticPr fontId="2"/>
  </si>
  <si>
    <t>三重大学学芸学部附属幼稚園が津へ統合、施設の払い下げを受けて市立幼稚園を開設</t>
    <rPh sb="0" eb="2">
      <t>ミエ</t>
    </rPh>
    <rPh sb="2" eb="4">
      <t>ダイガク</t>
    </rPh>
    <rPh sb="4" eb="6">
      <t>ガクゲイ</t>
    </rPh>
    <rPh sb="6" eb="8">
      <t>ガクブ</t>
    </rPh>
    <rPh sb="8" eb="10">
      <t>フゾク</t>
    </rPh>
    <rPh sb="10" eb="13">
      <t>ヨウチエン</t>
    </rPh>
    <rPh sb="14" eb="15">
      <t>ツ</t>
    </rPh>
    <rPh sb="16" eb="18">
      <t>トウゴウ</t>
    </rPh>
    <rPh sb="19" eb="21">
      <t>シセツ</t>
    </rPh>
    <rPh sb="22" eb="23">
      <t>ハラ</t>
    </rPh>
    <rPh sb="24" eb="25">
      <t>サ</t>
    </rPh>
    <rPh sb="27" eb="28">
      <t>ウ</t>
    </rPh>
    <rPh sb="30" eb="32">
      <t>シリツ</t>
    </rPh>
    <rPh sb="32" eb="35">
      <t>ヨウチエン</t>
    </rPh>
    <rPh sb="36" eb="38">
      <t>カイセツ</t>
    </rPh>
    <phoneticPr fontId="2"/>
  </si>
  <si>
    <t>幼稚園</t>
  </si>
  <si>
    <t>日本の歴史の中の亀山／現代の亀山／教育と医療・福祉／幼稚園</t>
    <phoneticPr fontId="2"/>
  </si>
  <si>
    <t>『亀山のあゆみ』P.392・年表</t>
    <rPh sb="14" eb="16">
      <t>ネ</t>
    </rPh>
    <phoneticPr fontId="2"/>
  </si>
  <si>
    <t>「ますみ児童園」完成</t>
    <rPh sb="4" eb="6">
      <t>ジドウ</t>
    </rPh>
    <rPh sb="6" eb="7">
      <t>エン</t>
    </rPh>
    <rPh sb="8" eb="10">
      <t>カンセイ</t>
    </rPh>
    <phoneticPr fontId="2"/>
  </si>
  <si>
    <t>ますみ児童園</t>
    <phoneticPr fontId="2"/>
  </si>
  <si>
    <t>『亀山のあゆみ』P.314・年表</t>
    <rPh sb="14" eb="16">
      <t>ネ</t>
    </rPh>
    <phoneticPr fontId="2"/>
  </si>
  <si>
    <t>鈴鹿トンネル内で車両火災のため13台焼失</t>
    <rPh sb="0" eb="2">
      <t>スズカ</t>
    </rPh>
    <rPh sb="6" eb="7">
      <t>ナイ</t>
    </rPh>
    <rPh sb="8" eb="10">
      <t>シャリョウ</t>
    </rPh>
    <rPh sb="10" eb="12">
      <t>カサイ</t>
    </rPh>
    <rPh sb="17" eb="18">
      <t>ダイ</t>
    </rPh>
    <rPh sb="18" eb="20">
      <t>ショウシツ</t>
    </rPh>
    <phoneticPr fontId="2"/>
  </si>
  <si>
    <t>鈴鹿トンネル</t>
    <phoneticPr fontId="2"/>
  </si>
  <si>
    <t>昭和42</t>
    <phoneticPr fontId="2"/>
  </si>
  <si>
    <t>坂下保育園開設</t>
    <rPh sb="0" eb="2">
      <t>サカシタ</t>
    </rPh>
    <rPh sb="2" eb="5">
      <t>ホイクエン</t>
    </rPh>
    <rPh sb="5" eb="7">
      <t>カイセツ</t>
    </rPh>
    <phoneticPr fontId="2"/>
  </si>
  <si>
    <t>坂下保育園</t>
  </si>
  <si>
    <t>鈴峯村が鈴鹿市に合併し、鈴鹿郡は関町のみとなる</t>
    <rPh sb="0" eb="1">
      <t>スズ</t>
    </rPh>
    <rPh sb="1" eb="2">
      <t>ミネ</t>
    </rPh>
    <rPh sb="2" eb="3">
      <t>ムラ</t>
    </rPh>
    <rPh sb="4" eb="7">
      <t>スズカシ</t>
    </rPh>
    <rPh sb="8" eb="10">
      <t>ガッペイ</t>
    </rPh>
    <rPh sb="12" eb="15">
      <t>スズカグン</t>
    </rPh>
    <rPh sb="16" eb="18">
      <t>セキチョウ</t>
    </rPh>
    <phoneticPr fontId="2"/>
  </si>
  <si>
    <t>世紀観光株式会社による関富士東麓の道路開発進む</t>
    <rPh sb="0" eb="2">
      <t>セイキ</t>
    </rPh>
    <rPh sb="2" eb="4">
      <t>カンコウ</t>
    </rPh>
    <rPh sb="4" eb="8">
      <t>カブシキガイシャ</t>
    </rPh>
    <rPh sb="11" eb="12">
      <t>セキ</t>
    </rPh>
    <rPh sb="12" eb="14">
      <t>フジ</t>
    </rPh>
    <rPh sb="14" eb="15">
      <t>ヒガシ</t>
    </rPh>
    <rPh sb="15" eb="16">
      <t>フモト</t>
    </rPh>
    <rPh sb="17" eb="19">
      <t>ドウロ</t>
    </rPh>
    <rPh sb="19" eb="21">
      <t>カイハツ</t>
    </rPh>
    <rPh sb="21" eb="22">
      <t>スス</t>
    </rPh>
    <phoneticPr fontId="2"/>
  </si>
  <si>
    <t>加太市場牛谷地区において高圧線漏電事故のため、死者１、重軽傷者７、全焼2戸、半焼１戸、その他電気器具に多くの破損被害</t>
    <rPh sb="0" eb="2">
      <t>カブト</t>
    </rPh>
    <rPh sb="2" eb="4">
      <t>イチバ</t>
    </rPh>
    <rPh sb="4" eb="5">
      <t>ウシ</t>
    </rPh>
    <rPh sb="5" eb="6">
      <t>タニ</t>
    </rPh>
    <rPh sb="6" eb="8">
      <t>チク</t>
    </rPh>
    <rPh sb="12" eb="14">
      <t>コウアツ</t>
    </rPh>
    <rPh sb="14" eb="15">
      <t>セン</t>
    </rPh>
    <rPh sb="15" eb="17">
      <t>ロウデン</t>
    </rPh>
    <rPh sb="17" eb="19">
      <t>ジコ</t>
    </rPh>
    <rPh sb="23" eb="25">
      <t>シシャ</t>
    </rPh>
    <rPh sb="27" eb="30">
      <t>ジュウケイショウ</t>
    </rPh>
    <rPh sb="30" eb="31">
      <t>モノ</t>
    </rPh>
    <rPh sb="33" eb="35">
      <t>ゼンショウ</t>
    </rPh>
    <rPh sb="36" eb="37">
      <t>ト</t>
    </rPh>
    <rPh sb="38" eb="39">
      <t>ハン</t>
    </rPh>
    <rPh sb="39" eb="40">
      <t>ヤキ</t>
    </rPh>
    <rPh sb="41" eb="42">
      <t>コ</t>
    </rPh>
    <rPh sb="45" eb="46">
      <t>ホカ</t>
    </rPh>
    <rPh sb="46" eb="48">
      <t>デンキ</t>
    </rPh>
    <rPh sb="48" eb="50">
      <t>キグ</t>
    </rPh>
    <rPh sb="51" eb="52">
      <t>オオ</t>
    </rPh>
    <rPh sb="54" eb="56">
      <t>ハソン</t>
    </rPh>
    <rPh sb="56" eb="58">
      <t>ヒガイ</t>
    </rPh>
    <phoneticPr fontId="2"/>
  </si>
  <si>
    <t>農免道路第一期工事（白木一色～鷲山）完成</t>
    <rPh sb="0" eb="1">
      <t>ノウ</t>
    </rPh>
    <rPh sb="1" eb="2">
      <t>メン</t>
    </rPh>
    <rPh sb="2" eb="4">
      <t>ドウロ</t>
    </rPh>
    <rPh sb="4" eb="5">
      <t>ダイ</t>
    </rPh>
    <rPh sb="5" eb="7">
      <t>イッキ</t>
    </rPh>
    <rPh sb="7" eb="9">
      <t>コウジ</t>
    </rPh>
    <rPh sb="10" eb="12">
      <t>シラキ</t>
    </rPh>
    <rPh sb="12" eb="14">
      <t>イッシキ</t>
    </rPh>
    <rPh sb="15" eb="17">
      <t>ワシヤマ</t>
    </rPh>
    <rPh sb="18" eb="20">
      <t>カンセイ</t>
    </rPh>
    <phoneticPr fontId="2"/>
  </si>
  <si>
    <t>関町観光協会発足</t>
    <rPh sb="2" eb="4">
      <t>カンコウ</t>
    </rPh>
    <rPh sb="4" eb="6">
      <t>キョウカイ</t>
    </rPh>
    <rPh sb="6" eb="8">
      <t>ホッソク</t>
    </rPh>
    <phoneticPr fontId="2"/>
  </si>
  <si>
    <t>坂下バイパス開通</t>
    <rPh sb="0" eb="2">
      <t>サカシタ</t>
    </rPh>
    <rPh sb="6" eb="8">
      <t>カイツウ</t>
    </rPh>
    <phoneticPr fontId="2"/>
  </si>
  <si>
    <t>国道1号</t>
    <rPh sb="0" eb="2">
      <t>コクドウ</t>
    </rPh>
    <rPh sb="3" eb="4">
      <t>ゴウ</t>
    </rPh>
    <phoneticPr fontId="2"/>
  </si>
  <si>
    <t>農村集団自動電話（関・坂下地区）開通（昭和56年3月に廃止）</t>
    <rPh sb="0" eb="2">
      <t>ノウソン</t>
    </rPh>
    <rPh sb="2" eb="4">
      <t>シュウダン</t>
    </rPh>
    <rPh sb="4" eb="6">
      <t>ジドウ</t>
    </rPh>
    <rPh sb="6" eb="8">
      <t>デンワ</t>
    </rPh>
    <rPh sb="9" eb="10">
      <t>セキ</t>
    </rPh>
    <rPh sb="11" eb="13">
      <t>サカシタ</t>
    </rPh>
    <rPh sb="13" eb="15">
      <t>チク</t>
    </rPh>
    <rPh sb="16" eb="18">
      <t>カイツウ</t>
    </rPh>
    <rPh sb="19" eb="21">
      <t>ショウワ</t>
    </rPh>
    <rPh sb="23" eb="24">
      <t>ネン</t>
    </rPh>
    <rPh sb="25" eb="26">
      <t>ガツ</t>
    </rPh>
    <rPh sb="27" eb="29">
      <t>ハイシ</t>
    </rPh>
    <phoneticPr fontId="2"/>
  </si>
  <si>
    <t>関町営国民宿舎の関ロッジがオープン</t>
    <rPh sb="0" eb="2">
      <t>セキチョウ</t>
    </rPh>
    <rPh sb="2" eb="3">
      <t>エイ</t>
    </rPh>
    <rPh sb="3" eb="5">
      <t>コクミン</t>
    </rPh>
    <rPh sb="5" eb="7">
      <t>シュクシャ</t>
    </rPh>
    <rPh sb="8" eb="9">
      <t>セキ</t>
    </rPh>
    <phoneticPr fontId="2"/>
  </si>
  <si>
    <t>関ロッジ</t>
  </si>
  <si>
    <t>木崎地区の山車が焼失</t>
    <rPh sb="0" eb="1">
      <t>キ</t>
    </rPh>
    <rPh sb="1" eb="2">
      <t>サキ</t>
    </rPh>
    <rPh sb="2" eb="4">
      <t>チク</t>
    </rPh>
    <rPh sb="5" eb="7">
      <t>ダシ</t>
    </rPh>
    <rPh sb="8" eb="10">
      <t>ショウシツ</t>
    </rPh>
    <phoneticPr fontId="2"/>
  </si>
  <si>
    <t>山車</t>
  </si>
  <si>
    <t>亀山のいいとこさがし／人々がつたえてきたこと／踊りや唄／関の山車</t>
    <rPh sb="11" eb="13">
      <t>ヒトビト</t>
    </rPh>
    <rPh sb="23" eb="24">
      <t>オド</t>
    </rPh>
    <rPh sb="26" eb="27">
      <t>ウタ</t>
    </rPh>
    <rPh sb="28" eb="29">
      <t>セキ</t>
    </rPh>
    <rPh sb="30" eb="32">
      <t>ダシ</t>
    </rPh>
    <phoneticPr fontId="2"/>
  </si>
  <si>
    <t>http://kameyamarekihaku.jp/kodomo/w_e_b/iitoko/hitobito/odori/page001.html</t>
  </si>
  <si>
    <t>昭和43</t>
  </si>
  <si>
    <t>小笠原諸島が日本に復帰する</t>
  </si>
  <si>
    <t>国民総生産、資本主義国第二位</t>
  </si>
  <si>
    <t>亀山教育事務所を廃止し、北勢教育事務所（四日市）管内となる</t>
    <rPh sb="0" eb="2">
      <t>カメヤマ</t>
    </rPh>
    <rPh sb="2" eb="4">
      <t>キョウイク</t>
    </rPh>
    <rPh sb="4" eb="6">
      <t>ジム</t>
    </rPh>
    <rPh sb="6" eb="7">
      <t>ショ</t>
    </rPh>
    <rPh sb="8" eb="10">
      <t>ハイシ</t>
    </rPh>
    <rPh sb="12" eb="14">
      <t>ホクセイ</t>
    </rPh>
    <rPh sb="14" eb="16">
      <t>キョウイク</t>
    </rPh>
    <rPh sb="16" eb="18">
      <t>ジム</t>
    </rPh>
    <rPh sb="18" eb="19">
      <t>ショ</t>
    </rPh>
    <rPh sb="20" eb="23">
      <t>ヨッカイチ</t>
    </rPh>
    <rPh sb="24" eb="26">
      <t>カンナイ</t>
    </rPh>
    <phoneticPr fontId="2"/>
  </si>
  <si>
    <t>亀山市少年団体育成者連絡協議会発足</t>
    <rPh sb="0" eb="3">
      <t>カメヤマシ</t>
    </rPh>
    <rPh sb="3" eb="6">
      <t>ショウネンダン</t>
    </rPh>
    <rPh sb="6" eb="8">
      <t>タイイク</t>
    </rPh>
    <rPh sb="8" eb="9">
      <t>ナ</t>
    </rPh>
    <rPh sb="9" eb="10">
      <t>モノ</t>
    </rPh>
    <rPh sb="10" eb="12">
      <t>レンラク</t>
    </rPh>
    <rPh sb="12" eb="15">
      <t>キョウギカイ</t>
    </rPh>
    <rPh sb="15" eb="17">
      <t>ホッソク</t>
    </rPh>
    <phoneticPr fontId="2"/>
  </si>
  <si>
    <t>８月24日正午を期して電話がダイヤル式になり、電話番号が変わる</t>
    <rPh sb="1" eb="2">
      <t>ガツ</t>
    </rPh>
    <rPh sb="4" eb="5">
      <t>ニチ</t>
    </rPh>
    <rPh sb="5" eb="7">
      <t>ショウゴ</t>
    </rPh>
    <rPh sb="8" eb="9">
      <t>キ</t>
    </rPh>
    <rPh sb="11" eb="13">
      <t>デンワ</t>
    </rPh>
    <rPh sb="18" eb="19">
      <t>シキ</t>
    </rPh>
    <rPh sb="23" eb="25">
      <t>デンワ</t>
    </rPh>
    <rPh sb="25" eb="27">
      <t>バンゴウ</t>
    </rPh>
    <rPh sb="28" eb="29">
      <t>カ</t>
    </rPh>
    <phoneticPr fontId="2"/>
  </si>
  <si>
    <t>亀山保健所閉鎖
鈴鹿市に移転し、鈴鹿保健所となる</t>
    <rPh sb="0" eb="2">
      <t>カメヤマ</t>
    </rPh>
    <rPh sb="2" eb="4">
      <t>ホケン</t>
    </rPh>
    <rPh sb="4" eb="5">
      <t>ショ</t>
    </rPh>
    <rPh sb="5" eb="7">
      <t>ヘイサ</t>
    </rPh>
    <rPh sb="8" eb="11">
      <t>スズカシ</t>
    </rPh>
    <rPh sb="12" eb="14">
      <t>イテン</t>
    </rPh>
    <rPh sb="16" eb="18">
      <t>スズカ</t>
    </rPh>
    <rPh sb="18" eb="20">
      <t>ホケン</t>
    </rPh>
    <rPh sb="20" eb="21">
      <t>ショ</t>
    </rPh>
    <phoneticPr fontId="2"/>
  </si>
  <si>
    <t>亀山保健所</t>
    <rPh sb="3" eb="4">
      <t>ケン</t>
    </rPh>
    <phoneticPr fontId="2"/>
  </si>
  <si>
    <t>関・芸濃・亀山地区広域行政推進連絡協議会発足</t>
    <rPh sb="0" eb="1">
      <t>セキ</t>
    </rPh>
    <rPh sb="2" eb="4">
      <t>ゲイノウ</t>
    </rPh>
    <rPh sb="5" eb="7">
      <t>カメヤマ</t>
    </rPh>
    <rPh sb="7" eb="9">
      <t>チク</t>
    </rPh>
    <rPh sb="9" eb="11">
      <t>コウイキ</t>
    </rPh>
    <rPh sb="11" eb="13">
      <t>ギョウセイ</t>
    </rPh>
    <rPh sb="13" eb="15">
      <t>スイシン</t>
    </rPh>
    <rPh sb="15" eb="17">
      <t>レンラク</t>
    </rPh>
    <rPh sb="17" eb="20">
      <t>キョウギカイ</t>
    </rPh>
    <rPh sb="20" eb="22">
      <t>ホッソク</t>
    </rPh>
    <phoneticPr fontId="2"/>
  </si>
  <si>
    <t>木崎の福蔵寺本堂が焼失</t>
    <rPh sb="0" eb="1">
      <t>キ</t>
    </rPh>
    <rPh sb="1" eb="2">
      <t>サキ</t>
    </rPh>
    <rPh sb="3" eb="4">
      <t>フク</t>
    </rPh>
    <rPh sb="4" eb="5">
      <t>クラ</t>
    </rPh>
    <rPh sb="5" eb="6">
      <t>テラ</t>
    </rPh>
    <rPh sb="6" eb="8">
      <t>ホンドウ</t>
    </rPh>
    <rPh sb="9" eb="11">
      <t>ショウシツ</t>
    </rPh>
    <phoneticPr fontId="2"/>
  </si>
  <si>
    <t>福蔵寺</t>
    <phoneticPr fontId="2"/>
  </si>
  <si>
    <t>関駅前の歩道橋完成</t>
    <rPh sb="0" eb="2">
      <t>セキエキ</t>
    </rPh>
    <rPh sb="2" eb="3">
      <t>マエ</t>
    </rPh>
    <rPh sb="4" eb="7">
      <t>ホドウキョウ</t>
    </rPh>
    <rPh sb="7" eb="9">
      <t>カンセイ</t>
    </rPh>
    <phoneticPr fontId="2"/>
  </si>
  <si>
    <t>関町母子福祉会設立</t>
    <rPh sb="0" eb="2">
      <t>セキチョウ</t>
    </rPh>
    <rPh sb="2" eb="4">
      <t>ボシ</t>
    </rPh>
    <rPh sb="4" eb="6">
      <t>フクシ</t>
    </rPh>
    <rPh sb="6" eb="7">
      <t>カイ</t>
    </rPh>
    <rPh sb="7" eb="9">
      <t>セツリツ</t>
    </rPh>
    <phoneticPr fontId="2"/>
  </si>
  <si>
    <t>観音山公園に大常夜灯完成</t>
    <rPh sb="0" eb="2">
      <t>カンノン</t>
    </rPh>
    <rPh sb="2" eb="3">
      <t>ヤマ</t>
    </rPh>
    <rPh sb="3" eb="5">
      <t>コウエン</t>
    </rPh>
    <rPh sb="6" eb="7">
      <t>ダイ</t>
    </rPh>
    <rPh sb="7" eb="8">
      <t>ツネ</t>
    </rPh>
    <rPh sb="8" eb="9">
      <t>ヤ</t>
    </rPh>
    <rPh sb="9" eb="10">
      <t>トウ</t>
    </rPh>
    <rPh sb="10" eb="12">
      <t>カンセイ</t>
    </rPh>
    <phoneticPr fontId="2"/>
  </si>
  <si>
    <t>観音山公園</t>
  </si>
  <si>
    <t>加太小学校水泳プール完成</t>
    <rPh sb="0" eb="2">
      <t>カブト</t>
    </rPh>
    <rPh sb="2" eb="5">
      <t>ショウガッコウ</t>
    </rPh>
    <rPh sb="5" eb="7">
      <t>スイエイ</t>
    </rPh>
    <rPh sb="10" eb="12">
      <t>カンセイ</t>
    </rPh>
    <phoneticPr fontId="2"/>
  </si>
  <si>
    <t>加太小学校</t>
    <phoneticPr fontId="2"/>
  </si>
  <si>
    <t>学校のあゆみ／加太小学校のれきし</t>
    <rPh sb="0" eb="2">
      <t>ガッコウ</t>
    </rPh>
    <rPh sb="6" eb="12">
      <t>・カブトショウガッコウ</t>
    </rPh>
    <phoneticPr fontId="2"/>
  </si>
  <si>
    <t>鈴鹿国定公園指定される</t>
    <rPh sb="0" eb="2">
      <t>スズカ</t>
    </rPh>
    <rPh sb="2" eb="4">
      <t>コクテイ</t>
    </rPh>
    <rPh sb="4" eb="6">
      <t>コウエン</t>
    </rPh>
    <rPh sb="6" eb="8">
      <t>シテイ</t>
    </rPh>
    <phoneticPr fontId="2"/>
  </si>
  <si>
    <t>坂下支所を廃止</t>
    <rPh sb="0" eb="2">
      <t>サカシタ</t>
    </rPh>
    <rPh sb="2" eb="4">
      <t>シショ</t>
    </rPh>
    <rPh sb="5" eb="7">
      <t>ハイシ</t>
    </rPh>
    <phoneticPr fontId="2"/>
  </si>
  <si>
    <t>坂下支所</t>
    <phoneticPr fontId="2"/>
  </si>
  <si>
    <t>関町が水槽付消防車を購入</t>
    <rPh sb="0" eb="1">
      <t>セキ</t>
    </rPh>
    <rPh sb="1" eb="2">
      <t>マチ</t>
    </rPh>
    <rPh sb="3" eb="5">
      <t>スイソウ</t>
    </rPh>
    <rPh sb="5" eb="6">
      <t>ツ</t>
    </rPh>
    <rPh sb="6" eb="9">
      <t>ショウボウシャ</t>
    </rPh>
    <rPh sb="10" eb="12">
      <t>コウニュウ</t>
    </rPh>
    <phoneticPr fontId="2"/>
  </si>
  <si>
    <t>加太地区農村集団自動電話開通（昭和57年11月廃止）</t>
    <rPh sb="0" eb="2">
      <t>カブト</t>
    </rPh>
    <rPh sb="2" eb="4">
      <t>チク</t>
    </rPh>
    <rPh sb="4" eb="6">
      <t>ノウソン</t>
    </rPh>
    <rPh sb="6" eb="8">
      <t>シュウダン</t>
    </rPh>
    <rPh sb="8" eb="10">
      <t>ジドウ</t>
    </rPh>
    <rPh sb="10" eb="12">
      <t>デンワ</t>
    </rPh>
    <rPh sb="12" eb="14">
      <t>カイツウ</t>
    </rPh>
    <rPh sb="15" eb="17">
      <t>ショウワ</t>
    </rPh>
    <rPh sb="19" eb="20">
      <t>ネン</t>
    </rPh>
    <rPh sb="22" eb="23">
      <t>ガツ</t>
    </rPh>
    <rPh sb="23" eb="25">
      <t>ハイシ</t>
    </rPh>
    <phoneticPr fontId="2"/>
  </si>
  <si>
    <t>昭和44</t>
    <rPh sb="0" eb="2">
      <t>ショウワ</t>
    </rPh>
    <phoneticPr fontId="2"/>
  </si>
  <si>
    <t>この年から亀山市内の成人式が各地区開催となる</t>
    <rPh sb="2" eb="3">
      <t>トシ</t>
    </rPh>
    <rPh sb="5" eb="7">
      <t>カメヤマ</t>
    </rPh>
    <rPh sb="7" eb="9">
      <t>シナイ</t>
    </rPh>
    <rPh sb="10" eb="13">
      <t>セイジンシキ</t>
    </rPh>
    <rPh sb="14" eb="17">
      <t>カクチク</t>
    </rPh>
    <rPh sb="17" eb="19">
      <t>カイサイ</t>
    </rPh>
    <phoneticPr fontId="2"/>
  </si>
  <si>
    <t>昼生地区簡易水道が上水に統合</t>
    <rPh sb="0" eb="2">
      <t>ヒルオ</t>
    </rPh>
    <rPh sb="2" eb="4">
      <t>チク</t>
    </rPh>
    <rPh sb="4" eb="6">
      <t>カンイ</t>
    </rPh>
    <rPh sb="6" eb="8">
      <t>スイドウ</t>
    </rPh>
    <rPh sb="9" eb="10">
      <t>ウエ</t>
    </rPh>
    <rPh sb="10" eb="11">
      <t>ミズ</t>
    </rPh>
    <rPh sb="12" eb="14">
      <t>トウゴウ</t>
    </rPh>
    <phoneticPr fontId="2"/>
  </si>
  <si>
    <t>昼生</t>
    <rPh sb="0" eb="2">
      <t>ヒルオ</t>
    </rPh>
    <phoneticPr fontId="2"/>
  </si>
  <si>
    <t>南崎の能褒野神社一の鳥居が道路拡張で東側に移転</t>
    <rPh sb="0" eb="1">
      <t>ミナミ</t>
    </rPh>
    <rPh sb="1" eb="2">
      <t>ザキ</t>
    </rPh>
    <rPh sb="3" eb="6">
      <t>ノボノ</t>
    </rPh>
    <rPh sb="6" eb="8">
      <t>ジンジャ</t>
    </rPh>
    <rPh sb="8" eb="9">
      <t>イチ</t>
    </rPh>
    <rPh sb="10" eb="12">
      <t>トリイ</t>
    </rPh>
    <rPh sb="13" eb="15">
      <t>ドウロ</t>
    </rPh>
    <rPh sb="15" eb="17">
      <t>カクチョウ</t>
    </rPh>
    <rPh sb="18" eb="20">
      <t>ヒガシガワ</t>
    </rPh>
    <rPh sb="21" eb="23">
      <t>イテン</t>
    </rPh>
    <phoneticPr fontId="2"/>
  </si>
  <si>
    <t>県と亀山以東８市町村で「関西本線複線電化促進三重県協議会」結成</t>
    <rPh sb="0" eb="1">
      <t>ケン</t>
    </rPh>
    <rPh sb="2" eb="4">
      <t>カメヤマ</t>
    </rPh>
    <rPh sb="4" eb="6">
      <t>イトウ</t>
    </rPh>
    <rPh sb="7" eb="9">
      <t>シチョウ</t>
    </rPh>
    <rPh sb="9" eb="10">
      <t>ムラ</t>
    </rPh>
    <rPh sb="12" eb="14">
      <t>カンサイ</t>
    </rPh>
    <rPh sb="14" eb="16">
      <t>ホンセン</t>
    </rPh>
    <rPh sb="16" eb="18">
      <t>フクセン</t>
    </rPh>
    <rPh sb="18" eb="20">
      <t>デンカ</t>
    </rPh>
    <rPh sb="20" eb="22">
      <t>ソクシン</t>
    </rPh>
    <rPh sb="22" eb="25">
      <t>ミエケン</t>
    </rPh>
    <rPh sb="25" eb="28">
      <t>キョウギカイ</t>
    </rPh>
    <rPh sb="29" eb="31">
      <t>ケッセイ</t>
    </rPh>
    <phoneticPr fontId="2"/>
  </si>
  <si>
    <t>亀山青年会議所、関西本線の複線化促進でマクラギ運動を展開</t>
    <rPh sb="0" eb="2">
      <t>カメヤマ</t>
    </rPh>
    <rPh sb="2" eb="4">
      <t>セイネン</t>
    </rPh>
    <rPh sb="4" eb="7">
      <t>カイギショ</t>
    </rPh>
    <rPh sb="8" eb="10">
      <t>カンサイ</t>
    </rPh>
    <rPh sb="10" eb="12">
      <t>ホンセン</t>
    </rPh>
    <rPh sb="13" eb="15">
      <t>フクセン</t>
    </rPh>
    <rPh sb="15" eb="16">
      <t>カ</t>
    </rPh>
    <rPh sb="16" eb="18">
      <t>ソクシン</t>
    </rPh>
    <rPh sb="23" eb="25">
      <t>ウンドウ</t>
    </rPh>
    <rPh sb="26" eb="28">
      <t>テンカイ</t>
    </rPh>
    <phoneticPr fontId="2"/>
  </si>
  <si>
    <t>東御幸町に商工会館完成</t>
    <rPh sb="0" eb="1">
      <t>ヒガシ</t>
    </rPh>
    <rPh sb="1" eb="4">
      <t>ミユキチョウ</t>
    </rPh>
    <rPh sb="5" eb="7">
      <t>ショウコウ</t>
    </rPh>
    <rPh sb="7" eb="9">
      <t>カイカン</t>
    </rPh>
    <rPh sb="9" eb="11">
      <t>カンセイ</t>
    </rPh>
    <phoneticPr fontId="2"/>
  </si>
  <si>
    <t>東御幸町</t>
    <phoneticPr fontId="2"/>
  </si>
  <si>
    <t>商工会館</t>
    <phoneticPr fontId="2"/>
  </si>
  <si>
    <t>亀山市・関町・芸濃町との消防相互応援協定に調印</t>
    <rPh sb="0" eb="3">
      <t>カメヤマシ</t>
    </rPh>
    <rPh sb="4" eb="6">
      <t>セキマチ</t>
    </rPh>
    <rPh sb="7" eb="9">
      <t>ゲイノウ</t>
    </rPh>
    <rPh sb="9" eb="10">
      <t>マチ</t>
    </rPh>
    <rPh sb="12" eb="14">
      <t>ショウボウ</t>
    </rPh>
    <rPh sb="14" eb="16">
      <t>ソウゴ</t>
    </rPh>
    <rPh sb="16" eb="18">
      <t>オウエン</t>
    </rPh>
    <rPh sb="18" eb="20">
      <t>キョウテイ</t>
    </rPh>
    <rPh sb="21" eb="23">
      <t>チョウイン</t>
    </rPh>
    <phoneticPr fontId="2"/>
  </si>
  <si>
    <t>亀山市消防、救急業務開始</t>
    <rPh sb="0" eb="3">
      <t>カメヤマシ</t>
    </rPh>
    <rPh sb="3" eb="5">
      <t>ショウボウ</t>
    </rPh>
    <rPh sb="6" eb="8">
      <t>キュウキュウ</t>
    </rPh>
    <rPh sb="8" eb="10">
      <t>ギョウム</t>
    </rPh>
    <rPh sb="10" eb="12">
      <t>カイシ</t>
    </rPh>
    <phoneticPr fontId="2"/>
  </si>
  <si>
    <t>市役所各支所が廃止され、連絡所となる</t>
    <rPh sb="0" eb="3">
      <t>シヤクショ</t>
    </rPh>
    <rPh sb="3" eb="4">
      <t>カク</t>
    </rPh>
    <rPh sb="4" eb="6">
      <t>シショ</t>
    </rPh>
    <rPh sb="7" eb="9">
      <t>ハイシ</t>
    </rPh>
    <rPh sb="12" eb="14">
      <t>レンラク</t>
    </rPh>
    <rPh sb="14" eb="15">
      <t>トコロ</t>
    </rPh>
    <phoneticPr fontId="2"/>
  </si>
  <si>
    <t>野村愛宕団地造成始まる</t>
    <rPh sb="0" eb="2">
      <t>ノムラ</t>
    </rPh>
    <rPh sb="2" eb="4">
      <t>アタゴ</t>
    </rPh>
    <rPh sb="4" eb="6">
      <t>ダンチ</t>
    </rPh>
    <rPh sb="6" eb="8">
      <t>ゾウセイ</t>
    </rPh>
    <rPh sb="8" eb="9">
      <t>ハジ</t>
    </rPh>
    <phoneticPr fontId="2"/>
  </si>
  <si>
    <t>南崎町に亀山駅前郵便局が新築移転する</t>
    <rPh sb="0" eb="3">
      <t>ミナミザキチョウ</t>
    </rPh>
    <rPh sb="4" eb="6">
      <t>カメヤマ</t>
    </rPh>
    <rPh sb="6" eb="7">
      <t>エキ</t>
    </rPh>
    <rPh sb="7" eb="8">
      <t>マエ</t>
    </rPh>
    <rPh sb="8" eb="11">
      <t>ユウビンキョク</t>
    </rPh>
    <rPh sb="12" eb="14">
      <t>シンチク</t>
    </rPh>
    <rPh sb="14" eb="16">
      <t>イテン</t>
    </rPh>
    <phoneticPr fontId="2"/>
  </si>
  <si>
    <t>亀山駅前郵便局</t>
    <phoneticPr fontId="2"/>
  </si>
  <si>
    <t>峯城跡が県史跡に指定される</t>
    <rPh sb="0" eb="1">
      <t>ミネ</t>
    </rPh>
    <rPh sb="1" eb="3">
      <t>シロアト</t>
    </rPh>
    <rPh sb="4" eb="5">
      <t>ケン</t>
    </rPh>
    <rPh sb="5" eb="7">
      <t>シセキ</t>
    </rPh>
    <rPh sb="8" eb="10">
      <t>シテイ</t>
    </rPh>
    <phoneticPr fontId="2"/>
  </si>
  <si>
    <t>川崎町</t>
    <phoneticPr fontId="2"/>
  </si>
  <si>
    <t>峯城跡</t>
    <rPh sb="0" eb="1">
      <t>ミネ</t>
    </rPh>
    <phoneticPr fontId="2"/>
  </si>
  <si>
    <t>峯城跡</t>
    <rPh sb="0" eb="1">
      <t>ミネ</t>
    </rPh>
    <rPh sb="1" eb="2">
      <t>シロ</t>
    </rPh>
    <rPh sb="2" eb="3">
      <t>アト</t>
    </rPh>
    <phoneticPr fontId="2"/>
  </si>
  <si>
    <t>亀山のいいとこさがし／景色のよいところや歴史を知る手掛かりとなるもの／歴史上の場所／峯城跡</t>
    <rPh sb="0" eb="2">
      <t>カメヤマ</t>
    </rPh>
    <rPh sb="11" eb="13">
      <t>ケシキ</t>
    </rPh>
    <rPh sb="20" eb="22">
      <t>レキシ</t>
    </rPh>
    <rPh sb="23" eb="24">
      <t>シ</t>
    </rPh>
    <rPh sb="25" eb="27">
      <t>テガ</t>
    </rPh>
    <rPh sb="35" eb="38">
      <t>レキシジョウ</t>
    </rPh>
    <rPh sb="39" eb="41">
      <t>バショ</t>
    </rPh>
    <rPh sb="42" eb="43">
      <t>ミネ</t>
    </rPh>
    <rPh sb="43" eb="44">
      <t>ジョウ</t>
    </rPh>
    <rPh sb="44" eb="45">
      <t>アト</t>
    </rPh>
    <phoneticPr fontId="2"/>
  </si>
  <si>
    <t>『亀山のあゆみ』P.450・年表</t>
    <phoneticPr fontId="2"/>
  </si>
  <si>
    <t>能褒野に古河電工の進出決まる</t>
    <rPh sb="4" eb="5">
      <t>フル</t>
    </rPh>
    <rPh sb="5" eb="6">
      <t>カワ</t>
    </rPh>
    <rPh sb="6" eb="8">
      <t>デンコウ</t>
    </rPh>
    <rPh sb="9" eb="11">
      <t>シンシュツ</t>
    </rPh>
    <rPh sb="11" eb="12">
      <t>キ</t>
    </rPh>
    <phoneticPr fontId="2"/>
  </si>
  <si>
    <t>能褒野町</t>
    <rPh sb="0" eb="3">
      <t>ノボノ</t>
    </rPh>
    <rPh sb="3" eb="4">
      <t>チョウ</t>
    </rPh>
    <phoneticPr fontId="2"/>
  </si>
  <si>
    <t>古河電工</t>
    <phoneticPr fontId="2"/>
  </si>
  <si>
    <t>関・加太両農業協同組合合併</t>
    <rPh sb="0" eb="1">
      <t>セキ</t>
    </rPh>
    <rPh sb="2" eb="4">
      <t>カブト</t>
    </rPh>
    <rPh sb="4" eb="5">
      <t>リョウ</t>
    </rPh>
    <rPh sb="5" eb="7">
      <t>ノウギョウ</t>
    </rPh>
    <rPh sb="7" eb="9">
      <t>キョウドウ</t>
    </rPh>
    <rPh sb="9" eb="11">
      <t>クミアイ</t>
    </rPh>
    <rPh sb="11" eb="13">
      <t>ガッペイ</t>
    </rPh>
    <phoneticPr fontId="2"/>
  </si>
  <si>
    <t>市瀬上新田農道完成</t>
    <rPh sb="0" eb="2">
      <t>イチノセ</t>
    </rPh>
    <rPh sb="2" eb="3">
      <t>ウエ</t>
    </rPh>
    <rPh sb="3" eb="5">
      <t>シンデン</t>
    </rPh>
    <rPh sb="5" eb="7">
      <t>ノウドウ</t>
    </rPh>
    <rPh sb="7" eb="9">
      <t>カンセイ</t>
    </rPh>
    <phoneticPr fontId="2"/>
  </si>
  <si>
    <t>関</t>
    <phoneticPr fontId="2"/>
  </si>
  <si>
    <t>関町市瀬</t>
    <rPh sb="0" eb="1">
      <t>セキ</t>
    </rPh>
    <rPh sb="1" eb="2">
      <t>チョウ</t>
    </rPh>
    <rPh sb="2" eb="4">
      <t>イチノセ</t>
    </rPh>
    <phoneticPr fontId="2"/>
  </si>
  <si>
    <t>市瀬上新田農道</t>
    <phoneticPr fontId="2"/>
  </si>
  <si>
    <t>関町青少年問題協議会発足</t>
    <rPh sb="0" eb="2">
      <t>セキチョウ</t>
    </rPh>
    <rPh sb="2" eb="5">
      <t>セイショウネン</t>
    </rPh>
    <rPh sb="5" eb="7">
      <t>モンダイ</t>
    </rPh>
    <rPh sb="7" eb="10">
      <t>キョウギカイ</t>
    </rPh>
    <rPh sb="10" eb="12">
      <t>ホッソク</t>
    </rPh>
    <phoneticPr fontId="2"/>
  </si>
  <si>
    <t>坂下小学校水泳プール完成</t>
    <rPh sb="0" eb="2">
      <t>サカシタ</t>
    </rPh>
    <rPh sb="2" eb="5">
      <t>ショウガッコウ</t>
    </rPh>
    <rPh sb="5" eb="7">
      <t>スイエイ</t>
    </rPh>
    <rPh sb="10" eb="12">
      <t>カンセイ</t>
    </rPh>
    <phoneticPr fontId="2"/>
  </si>
  <si>
    <t>坂下小学校</t>
    <phoneticPr fontId="2"/>
  </si>
  <si>
    <t>関町全域に対し、ゴミの無料取り集めを開始</t>
    <rPh sb="0" eb="2">
      <t>セキチョウ</t>
    </rPh>
    <rPh sb="2" eb="3">
      <t>ゼン</t>
    </rPh>
    <rPh sb="3" eb="4">
      <t>イキ</t>
    </rPh>
    <rPh sb="5" eb="6">
      <t>タイ</t>
    </rPh>
    <rPh sb="11" eb="13">
      <t>ムリョウ</t>
    </rPh>
    <rPh sb="13" eb="14">
      <t>ト</t>
    </rPh>
    <rPh sb="15" eb="16">
      <t>アツ</t>
    </rPh>
    <rPh sb="18" eb="20">
      <t>カイシ</t>
    </rPh>
    <phoneticPr fontId="2"/>
  </si>
  <si>
    <t>日本の歴史の中の亀山／現代の亀山／行政と政治／ごみ処理場</t>
    <rPh sb="25" eb="28">
      <t>ショリジョウ</t>
    </rPh>
    <phoneticPr fontId="2"/>
  </si>
  <si>
    <t>http://kameyamarekihaku.jp/kodomo/w_e_b/rekishi/gendai/gyosei/page007.html</t>
  </si>
  <si>
    <t>加太地区に消防ポンプ自動車配備</t>
    <rPh sb="0" eb="2">
      <t>カブト</t>
    </rPh>
    <rPh sb="2" eb="4">
      <t>チク</t>
    </rPh>
    <rPh sb="5" eb="7">
      <t>ショウボウ</t>
    </rPh>
    <rPh sb="10" eb="13">
      <t>ジドウシャ</t>
    </rPh>
    <rPh sb="13" eb="15">
      <t>ハイビ</t>
    </rPh>
    <phoneticPr fontId="2"/>
  </si>
  <si>
    <t>第7回三重県文化祭の郷土芸能大会に関の曳山（山車）出演</t>
    <rPh sb="0" eb="1">
      <t>ダイ</t>
    </rPh>
    <rPh sb="2" eb="3">
      <t>カイ</t>
    </rPh>
    <rPh sb="3" eb="6">
      <t>ミエケン</t>
    </rPh>
    <rPh sb="6" eb="8">
      <t>ブンカ</t>
    </rPh>
    <rPh sb="8" eb="9">
      <t>サイ</t>
    </rPh>
    <rPh sb="10" eb="12">
      <t>キョウド</t>
    </rPh>
    <rPh sb="12" eb="14">
      <t>ゲイノウ</t>
    </rPh>
    <rPh sb="14" eb="16">
      <t>タイカイ</t>
    </rPh>
    <rPh sb="17" eb="18">
      <t>セキ</t>
    </rPh>
    <rPh sb="19" eb="20">
      <t>ヒ</t>
    </rPh>
    <rPh sb="20" eb="21">
      <t>ヤマ</t>
    </rPh>
    <rPh sb="22" eb="24">
      <t>ダシ</t>
    </rPh>
    <rPh sb="25" eb="27">
      <t>シュツエン</t>
    </rPh>
    <phoneticPr fontId="2"/>
  </si>
  <si>
    <t>昭和45</t>
  </si>
  <si>
    <t>大阪で万国博覧会が開かれる　</t>
  </si>
  <si>
    <t>公害が社会問題となる</t>
  </si>
  <si>
    <t>亀山家畜商業協同組合事務所が川合町新道に新築移転</t>
    <rPh sb="0" eb="2">
      <t>カメヤマ</t>
    </rPh>
    <rPh sb="2" eb="4">
      <t>カチク</t>
    </rPh>
    <rPh sb="4" eb="6">
      <t>ショウギョウ</t>
    </rPh>
    <rPh sb="6" eb="8">
      <t>キョウドウ</t>
    </rPh>
    <rPh sb="8" eb="10">
      <t>クミアイ</t>
    </rPh>
    <rPh sb="10" eb="12">
      <t>ジム</t>
    </rPh>
    <rPh sb="12" eb="13">
      <t>ショ</t>
    </rPh>
    <rPh sb="14" eb="17">
      <t>カワイチョウ</t>
    </rPh>
    <rPh sb="17" eb="18">
      <t>シン</t>
    </rPh>
    <rPh sb="18" eb="19">
      <t>ミチ</t>
    </rPh>
    <rPh sb="20" eb="22">
      <t>シンチク</t>
    </rPh>
    <rPh sb="22" eb="24">
      <t>イテン</t>
    </rPh>
    <phoneticPr fontId="2"/>
  </si>
  <si>
    <t>川合町</t>
    <phoneticPr fontId="2"/>
  </si>
  <si>
    <t>電電公社が野登山頂に無線中継所を設置</t>
    <rPh sb="0" eb="4">
      <t>デンデンコウシャ</t>
    </rPh>
    <rPh sb="5" eb="7">
      <t>ノノボリ</t>
    </rPh>
    <rPh sb="7" eb="8">
      <t>ヤマ</t>
    </rPh>
    <rPh sb="8" eb="9">
      <t>イタダ</t>
    </rPh>
    <rPh sb="10" eb="12">
      <t>ムセン</t>
    </rPh>
    <rPh sb="12" eb="14">
      <t>チュウケイ</t>
    </rPh>
    <rPh sb="14" eb="15">
      <t>ショ</t>
    </rPh>
    <rPh sb="16" eb="18">
      <t>セッチ</t>
    </rPh>
    <phoneticPr fontId="2"/>
  </si>
  <si>
    <t>城南高等学校休校
この年に廃校</t>
    <rPh sb="0" eb="1">
      <t>シロ</t>
    </rPh>
    <rPh sb="1" eb="2">
      <t>ミナミ</t>
    </rPh>
    <rPh sb="2" eb="4">
      <t>コウトウ</t>
    </rPh>
    <rPh sb="4" eb="6">
      <t>ガッコウ</t>
    </rPh>
    <rPh sb="6" eb="8">
      <t>キュウコウ</t>
    </rPh>
    <rPh sb="11" eb="12">
      <t>トシ</t>
    </rPh>
    <rPh sb="13" eb="15">
      <t>ハイコウ</t>
    </rPh>
    <phoneticPr fontId="2"/>
  </si>
  <si>
    <t>私立城南高等学校</t>
    <phoneticPr fontId="2"/>
  </si>
  <si>
    <t>亀山城多門櫓の修理、保存会の手で完成</t>
    <rPh sb="0" eb="3">
      <t>カメヤマジョウ</t>
    </rPh>
    <rPh sb="3" eb="5">
      <t>タモン</t>
    </rPh>
    <rPh sb="5" eb="6">
      <t>ヤグラ</t>
    </rPh>
    <rPh sb="7" eb="9">
      <t>シュウリ</t>
    </rPh>
    <rPh sb="10" eb="13">
      <t>ホゾンカイ</t>
    </rPh>
    <rPh sb="14" eb="15">
      <t>テ</t>
    </rPh>
    <rPh sb="16" eb="18">
      <t>カンセイ</t>
    </rPh>
    <phoneticPr fontId="2"/>
  </si>
  <si>
    <t>多門櫓</t>
    <phoneticPr fontId="2"/>
  </si>
  <si>
    <t>亀山城と宿場／亀山城のつくり／櫓／多門櫓</t>
    <phoneticPr fontId="2"/>
  </si>
  <si>
    <t>『亀山のあゆみ』P.447・年表</t>
    <phoneticPr fontId="2"/>
  </si>
  <si>
    <t>ゴミが全市域で収集となる</t>
    <rPh sb="3" eb="4">
      <t>ゼン</t>
    </rPh>
    <rPh sb="4" eb="6">
      <t>シイキ</t>
    </rPh>
    <rPh sb="7" eb="9">
      <t>シュウシュウ</t>
    </rPh>
    <phoneticPr fontId="2"/>
  </si>
  <si>
    <t>日本の歴史の中の亀山／現代の亀山／行政と政治／ごみ処理場</t>
    <phoneticPr fontId="2"/>
  </si>
  <si>
    <t>納涼大会で亀山城修復記念亀山JC主管の「県下の太鼓と踊り」が行われる</t>
    <rPh sb="0" eb="2">
      <t>ノウリョウ</t>
    </rPh>
    <rPh sb="2" eb="4">
      <t>タイカイ</t>
    </rPh>
    <rPh sb="5" eb="7">
      <t>カメヤマ</t>
    </rPh>
    <rPh sb="7" eb="8">
      <t>シロ</t>
    </rPh>
    <rPh sb="8" eb="10">
      <t>シュウフク</t>
    </rPh>
    <rPh sb="10" eb="12">
      <t>キネン</t>
    </rPh>
    <rPh sb="12" eb="14">
      <t>カメヤマ</t>
    </rPh>
    <rPh sb="16" eb="18">
      <t>シュカン</t>
    </rPh>
    <rPh sb="20" eb="22">
      <t>ケンカ</t>
    </rPh>
    <rPh sb="23" eb="25">
      <t>タイコ</t>
    </rPh>
    <rPh sb="26" eb="27">
      <t>オド</t>
    </rPh>
    <rPh sb="30" eb="31">
      <t>オコ</t>
    </rPh>
    <phoneticPr fontId="2"/>
  </si>
  <si>
    <t>「Ｃ５８」機関車がますみ児童園に置かれる</t>
    <phoneticPr fontId="2"/>
  </si>
  <si>
    <t>ますみ児童園</t>
    <phoneticPr fontId="2"/>
  </si>
  <si>
    <t>プレート複製</t>
    <rPh sb="4" eb="6">
      <t>フクセイ</t>
    </rPh>
    <phoneticPr fontId="2"/>
  </si>
  <si>
    <t>関町営相撲場（観音山公園）完成し、土俵開き</t>
    <rPh sb="0" eb="2">
      <t>セキチョウ</t>
    </rPh>
    <rPh sb="2" eb="3">
      <t>エイ</t>
    </rPh>
    <rPh sb="3" eb="5">
      <t>スモウ</t>
    </rPh>
    <rPh sb="5" eb="6">
      <t>バ</t>
    </rPh>
    <rPh sb="7" eb="9">
      <t>カンノン</t>
    </rPh>
    <rPh sb="9" eb="10">
      <t>ヤマ</t>
    </rPh>
    <rPh sb="10" eb="12">
      <t>コウエン</t>
    </rPh>
    <rPh sb="13" eb="15">
      <t>カンセイ</t>
    </rPh>
    <rPh sb="17" eb="19">
      <t>ドヒョウ</t>
    </rPh>
    <rPh sb="19" eb="20">
      <t>ビラ</t>
    </rPh>
    <phoneticPr fontId="2"/>
  </si>
  <si>
    <t>関町営相撲場</t>
    <phoneticPr fontId="2"/>
  </si>
  <si>
    <t>昭和時代</t>
    <phoneticPr fontId="2"/>
  </si>
  <si>
    <t>木崎の福蔵寺本堂を再建</t>
    <rPh sb="0" eb="1">
      <t>キ</t>
    </rPh>
    <rPh sb="1" eb="2">
      <t>サキ</t>
    </rPh>
    <rPh sb="3" eb="4">
      <t>フク</t>
    </rPh>
    <rPh sb="4" eb="5">
      <t>クラ</t>
    </rPh>
    <rPh sb="5" eb="6">
      <t>テラ</t>
    </rPh>
    <rPh sb="6" eb="8">
      <t>ホンドウ</t>
    </rPh>
    <rPh sb="9" eb="11">
      <t>サイケン</t>
    </rPh>
    <phoneticPr fontId="2"/>
  </si>
  <si>
    <t>加太保育園開設、11月10日入園式</t>
    <rPh sb="0" eb="2">
      <t>カブト</t>
    </rPh>
    <rPh sb="2" eb="5">
      <t>ホイクエン</t>
    </rPh>
    <rPh sb="5" eb="7">
      <t>カイセツ</t>
    </rPh>
    <rPh sb="10" eb="11">
      <t>ガツ</t>
    </rPh>
    <rPh sb="13" eb="14">
      <t>ニチ</t>
    </rPh>
    <rPh sb="14" eb="16">
      <t>ニュウエン</t>
    </rPh>
    <rPh sb="16" eb="17">
      <t>シキ</t>
    </rPh>
    <phoneticPr fontId="2"/>
  </si>
  <si>
    <t>加太保育園</t>
    <phoneticPr fontId="2"/>
  </si>
  <si>
    <t>坂下大広の農道整備と坂下茶生産組合の製茶工場完成</t>
    <rPh sb="0" eb="2">
      <t>サカシタ</t>
    </rPh>
    <rPh sb="2" eb="4">
      <t>オオヒロ</t>
    </rPh>
    <rPh sb="5" eb="7">
      <t>ノウドウ</t>
    </rPh>
    <rPh sb="7" eb="9">
      <t>セイビ</t>
    </rPh>
    <rPh sb="10" eb="12">
      <t>サカシタ</t>
    </rPh>
    <rPh sb="12" eb="13">
      <t>チャ</t>
    </rPh>
    <rPh sb="13" eb="15">
      <t>セイサン</t>
    </rPh>
    <rPh sb="15" eb="17">
      <t>クミアイ</t>
    </rPh>
    <rPh sb="18" eb="20">
      <t>セイチャ</t>
    </rPh>
    <rPh sb="20" eb="22">
      <t>コウジョウ</t>
    </rPh>
    <rPh sb="22" eb="24">
      <t>カンセイ</t>
    </rPh>
    <phoneticPr fontId="2"/>
  </si>
  <si>
    <t>坂下茶生産組合の製茶工場</t>
  </si>
  <si>
    <t>昭和46</t>
    <phoneticPr fontId="2"/>
  </si>
  <si>
    <t>第二水源の陰涼寺山配水池が完成</t>
    <rPh sb="0" eb="2">
      <t>ダイニ</t>
    </rPh>
    <rPh sb="2" eb="4">
      <t>スイゲン</t>
    </rPh>
    <rPh sb="5" eb="6">
      <t>イン</t>
    </rPh>
    <rPh sb="6" eb="7">
      <t>スズ</t>
    </rPh>
    <rPh sb="7" eb="8">
      <t>テラ</t>
    </rPh>
    <rPh sb="8" eb="9">
      <t>ヤマ</t>
    </rPh>
    <rPh sb="9" eb="11">
      <t>ハイスイ</t>
    </rPh>
    <rPh sb="11" eb="12">
      <t>イケ</t>
    </rPh>
    <rPh sb="13" eb="15">
      <t>カンセイ</t>
    </rPh>
    <phoneticPr fontId="2"/>
  </si>
  <si>
    <t>陰涼寺山配水池</t>
    <phoneticPr fontId="2"/>
  </si>
  <si>
    <t>第二愛護園園舎が完成し、浄源寺北から移転</t>
    <rPh sb="0" eb="2">
      <t>ダイニ</t>
    </rPh>
    <rPh sb="2" eb="3">
      <t>アイ</t>
    </rPh>
    <rPh sb="3" eb="4">
      <t>マモル</t>
    </rPh>
    <rPh sb="4" eb="5">
      <t>エン</t>
    </rPh>
    <rPh sb="5" eb="6">
      <t>エン</t>
    </rPh>
    <rPh sb="6" eb="7">
      <t>シャ</t>
    </rPh>
    <rPh sb="8" eb="10">
      <t>カンセイ</t>
    </rPh>
    <rPh sb="12" eb="13">
      <t>キヨシ</t>
    </rPh>
    <rPh sb="13" eb="14">
      <t>ミナモト</t>
    </rPh>
    <rPh sb="14" eb="15">
      <t>テラ</t>
    </rPh>
    <rPh sb="15" eb="16">
      <t>キタ</t>
    </rPh>
    <rPh sb="18" eb="20">
      <t>イテン</t>
    </rPh>
    <phoneticPr fontId="2"/>
  </si>
  <si>
    <t>第二愛護園</t>
    <phoneticPr fontId="2"/>
  </si>
  <si>
    <t>能褒野橋が完成</t>
    <rPh sb="0" eb="3">
      <t>ノボノ</t>
    </rPh>
    <rPh sb="3" eb="4">
      <t>ハシ</t>
    </rPh>
    <rPh sb="5" eb="7">
      <t>カンセイ</t>
    </rPh>
    <phoneticPr fontId="2"/>
  </si>
  <si>
    <t>長明寺町・田村町</t>
    <rPh sb="0" eb="1">
      <t>チョウ</t>
    </rPh>
    <rPh sb="1" eb="2">
      <t>アカ</t>
    </rPh>
    <rPh sb="2" eb="3">
      <t>テラ</t>
    </rPh>
    <rPh sb="3" eb="4">
      <t>チョウ</t>
    </rPh>
    <rPh sb="5" eb="8">
      <t>タムラチョウ</t>
    </rPh>
    <phoneticPr fontId="2"/>
  </si>
  <si>
    <t>能褒野橋</t>
    <phoneticPr fontId="2"/>
  </si>
  <si>
    <t>『亀山のあゆみ』年表
『亀山市史』歴史分野
『亀山市史』歴史分野</t>
    <rPh sb="11" eb="21">
      <t>レ</t>
    </rPh>
    <rPh sb="23" eb="26">
      <t>カメヤマシ</t>
    </rPh>
    <rPh sb="26" eb="27">
      <t>シ</t>
    </rPh>
    <rPh sb="28" eb="30">
      <t>レキシ</t>
    </rPh>
    <rPh sb="30" eb="32">
      <t>ブンヤ</t>
    </rPh>
    <phoneticPr fontId="2"/>
  </si>
  <si>
    <r>
      <t>台風23号来襲
民家の倒壊３戸、床上浸水２０３戸、床下浸水２２６戸などの被害
関町では、全半壊</t>
    </r>
    <r>
      <rPr>
        <sz val="11"/>
        <rFont val="ＭＳ Ｐゴシック"/>
        <family val="3"/>
        <charset val="128"/>
      </rPr>
      <t>15</t>
    </r>
    <r>
      <rPr>
        <sz val="11"/>
        <rFont val="ＭＳ Ｐゴシック"/>
        <family val="3"/>
        <charset val="128"/>
      </rPr>
      <t>戸、床上床下浸水</t>
    </r>
    <r>
      <rPr>
        <sz val="11"/>
        <rFont val="ＭＳ Ｐゴシック"/>
        <family val="3"/>
        <charset val="128"/>
      </rPr>
      <t>253</t>
    </r>
    <r>
      <rPr>
        <sz val="11"/>
        <rFont val="ＭＳ Ｐゴシック"/>
        <family val="3"/>
        <charset val="128"/>
      </rPr>
      <t>戸、久我橋・明神橋流失、特に沓掛・市瀬地区住家の被害甚大</t>
    </r>
    <rPh sb="0" eb="2">
      <t>タイフウ</t>
    </rPh>
    <rPh sb="4" eb="5">
      <t>ゴウ</t>
    </rPh>
    <rPh sb="5" eb="7">
      <t>ライシュウ</t>
    </rPh>
    <rPh sb="8" eb="10">
      <t>ミンカ</t>
    </rPh>
    <rPh sb="11" eb="13">
      <t>トウカイ</t>
    </rPh>
    <rPh sb="14" eb="15">
      <t>コ</t>
    </rPh>
    <rPh sb="16" eb="18">
      <t>ユカウエ</t>
    </rPh>
    <rPh sb="18" eb="20">
      <t>シンスイ</t>
    </rPh>
    <rPh sb="23" eb="24">
      <t>コ</t>
    </rPh>
    <rPh sb="25" eb="27">
      <t>ユカシタ</t>
    </rPh>
    <rPh sb="27" eb="29">
      <t>シンスイ</t>
    </rPh>
    <rPh sb="32" eb="33">
      <t>コ</t>
    </rPh>
    <rPh sb="36" eb="38">
      <t>ヒガイ</t>
    </rPh>
    <phoneticPr fontId="2"/>
  </si>
  <si>
    <t>日本の歴史の中の亀山／現代の亀山／自然災害／台風や集中豪雨による水害／1971年（昭和46）９月26日台風29号</t>
    <phoneticPr fontId="2"/>
  </si>
  <si>
    <t>http://kameyamarekihaku.jp/kodomo/w_e_b/rekishi/gendai/saigai/suigai/page003.html</t>
  </si>
  <si>
    <t>『亀山のあゆみ』P.168・年表
『鈴鹿関町史』下巻年表
『亀山市史』歴史分野</t>
    <rPh sb="18" eb="20">
      <t>スズカ</t>
    </rPh>
    <rPh sb="20" eb="22">
      <t>セキチョウ</t>
    </rPh>
    <rPh sb="22" eb="23">
      <t>シ</t>
    </rPh>
    <rPh sb="24" eb="26">
      <t>ゲカン</t>
    </rPh>
    <rPh sb="26" eb="28">
      <t>ネンピョウ</t>
    </rPh>
    <rPh sb="30" eb="33">
      <t>カメヤマシ</t>
    </rPh>
    <rPh sb="33" eb="34">
      <t>シ</t>
    </rPh>
    <rPh sb="35" eb="37">
      <t>レキシ</t>
    </rPh>
    <rPh sb="37" eb="39">
      <t>ブンヤ</t>
    </rPh>
    <phoneticPr fontId="2"/>
  </si>
  <si>
    <t>台風29号来襲
亀山市では、床上床下浸水、橋梁、田畑などに被害</t>
    <rPh sb="0" eb="2">
      <t>タイフウ</t>
    </rPh>
    <rPh sb="4" eb="5">
      <t>ゴウ</t>
    </rPh>
    <rPh sb="5" eb="7">
      <t>ライシュウ</t>
    </rPh>
    <rPh sb="8" eb="11">
      <t>カメヤマシ</t>
    </rPh>
    <rPh sb="14" eb="16">
      <t>ユカウエ</t>
    </rPh>
    <rPh sb="16" eb="18">
      <t>ユカシタ</t>
    </rPh>
    <rPh sb="18" eb="20">
      <t>シンスイ</t>
    </rPh>
    <rPh sb="21" eb="23">
      <t>キョウリョウ</t>
    </rPh>
    <rPh sb="24" eb="26">
      <t>タハタ</t>
    </rPh>
    <rPh sb="29" eb="31">
      <t>ヒガイ</t>
    </rPh>
    <phoneticPr fontId="2"/>
  </si>
  <si>
    <t>『亀山のあゆみ』年表
『亀山市史』歴史分野</t>
    <rPh sb="12" eb="15">
      <t>カメヤマシ</t>
    </rPh>
    <rPh sb="15" eb="16">
      <t>シ</t>
    </rPh>
    <rPh sb="17" eb="19">
      <t>レキシ</t>
    </rPh>
    <rPh sb="19" eb="21">
      <t>ブンヤ</t>
    </rPh>
    <phoneticPr fontId="2"/>
  </si>
  <si>
    <t>古河電工が操業開始</t>
    <rPh sb="0" eb="1">
      <t>フル</t>
    </rPh>
    <rPh sb="1" eb="2">
      <t>カワ</t>
    </rPh>
    <rPh sb="2" eb="4">
      <t>デンコウ</t>
    </rPh>
    <rPh sb="5" eb="7">
      <t>ソウギョウ</t>
    </rPh>
    <rPh sb="7" eb="9">
      <t>カイシ</t>
    </rPh>
    <phoneticPr fontId="2"/>
  </si>
  <si>
    <t>能褒野町</t>
    <rPh sb="3" eb="4">
      <t>チョウ</t>
    </rPh>
    <phoneticPr fontId="2"/>
  </si>
  <si>
    <t>古河電工</t>
    <phoneticPr fontId="2"/>
  </si>
  <si>
    <t>農免道路（白木一色～西ノ口）全線開通（昭和51年10月町道になる）</t>
    <rPh sb="0" eb="1">
      <t>ノウ</t>
    </rPh>
    <rPh sb="1" eb="2">
      <t>メン</t>
    </rPh>
    <rPh sb="2" eb="4">
      <t>ドウロ</t>
    </rPh>
    <rPh sb="5" eb="7">
      <t>シラキ</t>
    </rPh>
    <rPh sb="7" eb="9">
      <t>イッシキ</t>
    </rPh>
    <rPh sb="10" eb="11">
      <t>ニシ</t>
    </rPh>
    <rPh sb="12" eb="13">
      <t>クチ</t>
    </rPh>
    <rPh sb="14" eb="16">
      <t>ゼンセン</t>
    </rPh>
    <rPh sb="16" eb="18">
      <t>カイツウ</t>
    </rPh>
    <rPh sb="19" eb="21">
      <t>ショウワ</t>
    </rPh>
    <rPh sb="23" eb="24">
      <t>ネン</t>
    </rPh>
    <rPh sb="26" eb="27">
      <t>ガツ</t>
    </rPh>
    <rPh sb="27" eb="28">
      <t>マチ</t>
    </rPh>
    <rPh sb="28" eb="29">
      <t>ミチ</t>
    </rPh>
    <phoneticPr fontId="2"/>
  </si>
  <si>
    <t>関町営泉ヶ丘団地第一分譲を始める</t>
    <rPh sb="0" eb="1">
      <t>セキ</t>
    </rPh>
    <rPh sb="1" eb="2">
      <t>マチ</t>
    </rPh>
    <rPh sb="2" eb="3">
      <t>エイ</t>
    </rPh>
    <rPh sb="3" eb="4">
      <t>イズミ</t>
    </rPh>
    <rPh sb="5" eb="6">
      <t>オカ</t>
    </rPh>
    <rPh sb="6" eb="8">
      <t>ダンチ</t>
    </rPh>
    <rPh sb="8" eb="10">
      <t>ダイイチ</t>
    </rPh>
    <rPh sb="10" eb="12">
      <t>ブンジョウ</t>
    </rPh>
    <rPh sb="13" eb="14">
      <t>ハジ</t>
    </rPh>
    <phoneticPr fontId="2"/>
  </si>
  <si>
    <t>関町泉ケ丘</t>
    <rPh sb="0" eb="1">
      <t>セキ</t>
    </rPh>
    <rPh sb="1" eb="2">
      <t>チョウ</t>
    </rPh>
    <rPh sb="2" eb="3">
      <t>イズミ</t>
    </rPh>
    <rPh sb="4" eb="5">
      <t>オカ</t>
    </rPh>
    <phoneticPr fontId="2"/>
  </si>
  <si>
    <t>泉ヶ丘団地</t>
    <phoneticPr fontId="2"/>
  </si>
  <si>
    <t>上田農道開設、農道小野・鷲山線開通</t>
    <rPh sb="0" eb="2">
      <t>ウエダ</t>
    </rPh>
    <rPh sb="2" eb="4">
      <t>ノウドウ</t>
    </rPh>
    <rPh sb="4" eb="6">
      <t>カイセツ</t>
    </rPh>
    <rPh sb="7" eb="9">
      <t>ノウドウ</t>
    </rPh>
    <rPh sb="9" eb="11">
      <t>オノ</t>
    </rPh>
    <rPh sb="12" eb="14">
      <t>ワシヤマ</t>
    </rPh>
    <rPh sb="14" eb="15">
      <t>セン</t>
    </rPh>
    <rPh sb="15" eb="17">
      <t>カイツウ</t>
    </rPh>
    <phoneticPr fontId="2"/>
  </si>
  <si>
    <t>神福寺の梵鐘・鐘楼ができる</t>
    <rPh sb="1" eb="2">
      <t>フク</t>
    </rPh>
    <rPh sb="2" eb="3">
      <t>テラ</t>
    </rPh>
    <rPh sb="4" eb="6">
      <t>ボンショウ</t>
    </rPh>
    <rPh sb="7" eb="9">
      <t>ショウロウ</t>
    </rPh>
    <phoneticPr fontId="2"/>
  </si>
  <si>
    <t>昭和46</t>
    <phoneticPr fontId="2"/>
  </si>
  <si>
    <t>加太小学校越川分校廃校</t>
    <rPh sb="0" eb="2">
      <t>カブト</t>
    </rPh>
    <rPh sb="2" eb="5">
      <t>ショウガッコウ</t>
    </rPh>
    <rPh sb="5" eb="7">
      <t>エチガワ</t>
    </rPh>
    <rPh sb="7" eb="9">
      <t>ブンコウ</t>
    </rPh>
    <rPh sb="9" eb="11">
      <t>ハイコウ</t>
    </rPh>
    <phoneticPr fontId="2"/>
  </si>
  <si>
    <t>関町越川</t>
    <rPh sb="0" eb="1">
      <t>セキ</t>
    </rPh>
    <rPh sb="1" eb="2">
      <t>チョウ</t>
    </rPh>
    <phoneticPr fontId="2"/>
  </si>
  <si>
    <t>学校のあゆみ／加太小学校のれきし</t>
  </si>
  <si>
    <t>関町立関幼稚園新設</t>
    <rPh sb="0" eb="2">
      <t>セキチョウ</t>
    </rPh>
    <rPh sb="2" eb="3">
      <t>リツ</t>
    </rPh>
    <rPh sb="3" eb="4">
      <t>セキ</t>
    </rPh>
    <rPh sb="4" eb="7">
      <t>ヨウチエン</t>
    </rPh>
    <rPh sb="7" eb="9">
      <t>シンセツ</t>
    </rPh>
    <phoneticPr fontId="2"/>
  </si>
  <si>
    <t>関町立関幼稚園</t>
    <phoneticPr fontId="2"/>
  </si>
  <si>
    <t>日本の歴史の中の亀山／現代の亀山／教育と医療・福祉／幼稚園</t>
    <phoneticPr fontId="2"/>
  </si>
  <si>
    <t>関電話交換局開設、関地区ダイヤル化により自動電話開通</t>
    <rPh sb="0" eb="1">
      <t>セキ</t>
    </rPh>
    <rPh sb="1" eb="3">
      <t>デンワ</t>
    </rPh>
    <rPh sb="3" eb="6">
      <t>コウカンキョク</t>
    </rPh>
    <rPh sb="6" eb="8">
      <t>カイセツ</t>
    </rPh>
    <rPh sb="9" eb="12">
      <t>セキチク</t>
    </rPh>
    <rPh sb="16" eb="17">
      <t>カ</t>
    </rPh>
    <rPh sb="20" eb="22">
      <t>ジドウ</t>
    </rPh>
    <rPh sb="22" eb="24">
      <t>デンワ</t>
    </rPh>
    <rPh sb="24" eb="26">
      <t>カイツウ</t>
    </rPh>
    <phoneticPr fontId="2"/>
  </si>
  <si>
    <t>関町立学校給食センター完成</t>
    <rPh sb="0" eb="1">
      <t>セキ</t>
    </rPh>
    <rPh sb="1" eb="2">
      <t>マチ</t>
    </rPh>
    <rPh sb="2" eb="3">
      <t>リツ</t>
    </rPh>
    <rPh sb="3" eb="5">
      <t>ガッコウ</t>
    </rPh>
    <rPh sb="5" eb="7">
      <t>キュウショク</t>
    </rPh>
    <rPh sb="11" eb="13">
      <t>カンセイ</t>
    </rPh>
    <phoneticPr fontId="2"/>
  </si>
  <si>
    <t>関町立学校給食センター</t>
    <phoneticPr fontId="2"/>
  </si>
  <si>
    <t>昭和47</t>
  </si>
  <si>
    <t>冬季オリンピック札幌大会が開かれる</t>
  </si>
  <si>
    <t>沖縄が日本に返還される</t>
    <phoneticPr fontId="2"/>
  </si>
  <si>
    <t>琉球語辞典（服部四郎文庫）</t>
    <phoneticPr fontId="2"/>
  </si>
  <si>
    <t>中華人民共和国と国交を正常化する　</t>
  </si>
  <si>
    <t>勤労婦人福祉法が出される</t>
    <rPh sb="0" eb="2">
      <t>キンロウ</t>
    </rPh>
    <rPh sb="2" eb="4">
      <t>フジン</t>
    </rPh>
    <rPh sb="4" eb="6">
      <t>フクシ</t>
    </rPh>
    <rPh sb="6" eb="7">
      <t>ホウ</t>
    </rPh>
    <phoneticPr fontId="2"/>
  </si>
  <si>
    <t>亀山市の霊きゅう車の買い替え
５人乗り空色ライトバンになる</t>
    <rPh sb="0" eb="3">
      <t>カメヤマシ</t>
    </rPh>
    <rPh sb="4" eb="5">
      <t>レイ</t>
    </rPh>
    <rPh sb="8" eb="9">
      <t>クルマ</t>
    </rPh>
    <rPh sb="10" eb="11">
      <t>カ</t>
    </rPh>
    <rPh sb="12" eb="13">
      <t>カ</t>
    </rPh>
    <rPh sb="16" eb="17">
      <t>ニン</t>
    </rPh>
    <rPh sb="17" eb="18">
      <t>ノ</t>
    </rPh>
    <rPh sb="19" eb="21">
      <t>ソライロ</t>
    </rPh>
    <phoneticPr fontId="2"/>
  </si>
  <si>
    <t>県営中の山大茶園（中の山パイロット）の造成始まる</t>
    <rPh sb="0" eb="1">
      <t>ケン</t>
    </rPh>
    <rPh sb="1" eb="2">
      <t>エイ</t>
    </rPh>
    <rPh sb="2" eb="3">
      <t>ナカ</t>
    </rPh>
    <rPh sb="4" eb="5">
      <t>ヤマ</t>
    </rPh>
    <rPh sb="5" eb="6">
      <t>ダイ</t>
    </rPh>
    <rPh sb="6" eb="8">
      <t>チャエン</t>
    </rPh>
    <rPh sb="9" eb="10">
      <t>ナカ</t>
    </rPh>
    <rPh sb="11" eb="12">
      <t>ヤマ</t>
    </rPh>
    <rPh sb="19" eb="21">
      <t>ゾウセイ</t>
    </rPh>
    <rPh sb="21" eb="22">
      <t>ハジ</t>
    </rPh>
    <phoneticPr fontId="2"/>
  </si>
  <si>
    <t>太森町</t>
    <rPh sb="0" eb="3">
      <t>フトモリチョウ</t>
    </rPh>
    <phoneticPr fontId="2"/>
  </si>
  <si>
    <t>中の山大茶園</t>
    <phoneticPr fontId="2"/>
  </si>
  <si>
    <t>井田川団地の第一期分着工</t>
    <rPh sb="0" eb="3">
      <t>イダガワ</t>
    </rPh>
    <rPh sb="3" eb="5">
      <t>ダンチ</t>
    </rPh>
    <rPh sb="6" eb="7">
      <t>ダイ</t>
    </rPh>
    <rPh sb="7" eb="9">
      <t>イッキ</t>
    </rPh>
    <rPh sb="9" eb="10">
      <t>ブン</t>
    </rPh>
    <rPh sb="10" eb="12">
      <t>チャッコウ</t>
    </rPh>
    <phoneticPr fontId="2"/>
  </si>
  <si>
    <t>みどり町</t>
    <rPh sb="3" eb="4">
      <t>チョウ</t>
    </rPh>
    <phoneticPr fontId="2"/>
  </si>
  <si>
    <t>井田川団地</t>
    <phoneticPr fontId="2"/>
  </si>
  <si>
    <t>辺法寺の丘陵地に県下初の畜産団地が完成</t>
    <rPh sb="0" eb="3">
      <t>ヘンボウジ</t>
    </rPh>
    <rPh sb="4" eb="7">
      <t>キュウリョウチ</t>
    </rPh>
    <rPh sb="8" eb="10">
      <t>ケンカ</t>
    </rPh>
    <rPh sb="10" eb="11">
      <t>ハツ</t>
    </rPh>
    <rPh sb="12" eb="14">
      <t>チクサン</t>
    </rPh>
    <rPh sb="14" eb="16">
      <t>ダンチ</t>
    </rPh>
    <rPh sb="17" eb="19">
      <t>カンセイ</t>
    </rPh>
    <phoneticPr fontId="2"/>
  </si>
  <si>
    <t>畜産団地</t>
    <phoneticPr fontId="2"/>
  </si>
  <si>
    <t>亀山市老人家庭奉仕員制度スタート</t>
    <rPh sb="0" eb="3">
      <t>カメヤマシ</t>
    </rPh>
    <rPh sb="3" eb="5">
      <t>ロウジン</t>
    </rPh>
    <rPh sb="5" eb="7">
      <t>カテイ</t>
    </rPh>
    <rPh sb="7" eb="9">
      <t>ホウシ</t>
    </rPh>
    <rPh sb="9" eb="10">
      <t>イン</t>
    </rPh>
    <rPh sb="10" eb="12">
      <t>セイド</t>
    </rPh>
    <phoneticPr fontId="2"/>
  </si>
  <si>
    <t>井田川茶臼山古墳、城山古墳の発掘調査が行われる</t>
    <rPh sb="0" eb="3">
      <t>イダガワ</t>
    </rPh>
    <rPh sb="3" eb="6">
      <t>チャウスヤマ</t>
    </rPh>
    <rPh sb="6" eb="8">
      <t>コフン</t>
    </rPh>
    <rPh sb="9" eb="11">
      <t>シロヤマ</t>
    </rPh>
    <rPh sb="11" eb="13">
      <t>コフン</t>
    </rPh>
    <rPh sb="14" eb="16">
      <t>ハックツ</t>
    </rPh>
    <rPh sb="16" eb="18">
      <t>チョウサ</t>
    </rPh>
    <rPh sb="19" eb="20">
      <t>オコナ</t>
    </rPh>
    <phoneticPr fontId="2"/>
  </si>
  <si>
    <t>日本の歴史の中の亀山／古代の亀山／亀山のあけぼの／大王の時代と亀山の古墳／亀山の古墳／さまざまな古墳（１）</t>
    <phoneticPr fontId="2"/>
  </si>
  <si>
    <t>『亀山のあゆみ』年表
『井田川茶臼山古墳』
『研究紀要５』
『亀山市史』考古分野
『展示案内』　その他のゾーン展示
『亀山市史』通史　近代現代</t>
    <rPh sb="12" eb="15">
      <t>イダガワ</t>
    </rPh>
    <rPh sb="15" eb="18">
      <t>チャウスヤマ</t>
    </rPh>
    <rPh sb="18" eb="20">
      <t>コフン</t>
    </rPh>
    <rPh sb="23" eb="25">
      <t>ケンキュウ</t>
    </rPh>
    <rPh sb="25" eb="27">
      <t>キヨウ</t>
    </rPh>
    <rPh sb="30" eb="40">
      <t>カ</t>
    </rPh>
    <rPh sb="50" eb="51">
      <t>タ</t>
    </rPh>
    <rPh sb="55" eb="57">
      <t>テンジ</t>
    </rPh>
    <rPh sb="58" eb="71">
      <t>ツ</t>
    </rPh>
    <phoneticPr fontId="2"/>
  </si>
  <si>
    <t>画文帯神獣鏡レプリカ</t>
    <phoneticPr fontId="2"/>
  </si>
  <si>
    <t>日本の歴史の中の亀山／古代の亀山／亀山のあけぼの／大王の時代と亀山の古墳／亀山の古墳文化／銅鏡</t>
    <rPh sb="42" eb="44">
      <t>ブンカ</t>
    </rPh>
    <rPh sb="45" eb="47">
      <t>ドウキョウ</t>
    </rPh>
    <phoneticPr fontId="2"/>
  </si>
  <si>
    <t>山下橋（鈴鹿川）完成</t>
    <rPh sb="2" eb="3">
      <t>ハシ</t>
    </rPh>
    <rPh sb="4" eb="6">
      <t>スズカ</t>
    </rPh>
    <rPh sb="6" eb="7">
      <t>カワ</t>
    </rPh>
    <rPh sb="8" eb="10">
      <t>カンセイ</t>
    </rPh>
    <phoneticPr fontId="2"/>
  </si>
  <si>
    <t>神辺</t>
    <phoneticPr fontId="2"/>
  </si>
  <si>
    <t>山下橋</t>
    <phoneticPr fontId="2"/>
  </si>
  <si>
    <t>台風２０号来襲
風害で住家の全半壊５戸、市の施設や農作物に被害</t>
    <rPh sb="0" eb="2">
      <t>タイフウ</t>
    </rPh>
    <rPh sb="4" eb="5">
      <t>ゴウ</t>
    </rPh>
    <rPh sb="5" eb="7">
      <t>ライシュウ</t>
    </rPh>
    <rPh sb="8" eb="10">
      <t>フウガイ</t>
    </rPh>
    <rPh sb="11" eb="12">
      <t>ス</t>
    </rPh>
    <rPh sb="12" eb="13">
      <t>イエ</t>
    </rPh>
    <rPh sb="14" eb="17">
      <t>ゼンハンカイ</t>
    </rPh>
    <rPh sb="18" eb="19">
      <t>コ</t>
    </rPh>
    <rPh sb="20" eb="21">
      <t>シ</t>
    </rPh>
    <rPh sb="22" eb="24">
      <t>シセツ</t>
    </rPh>
    <rPh sb="25" eb="28">
      <t>ノウサクモツ</t>
    </rPh>
    <rPh sb="29" eb="31">
      <t>ヒガイ</t>
    </rPh>
    <phoneticPr fontId="2"/>
  </si>
  <si>
    <t>国鉄１００年記念
国鉄ОＢ会亀山支部主催で機関車の公開展示など実施</t>
    <rPh sb="0" eb="2">
      <t>コクテツ</t>
    </rPh>
    <rPh sb="5" eb="6">
      <t>ネン</t>
    </rPh>
    <rPh sb="6" eb="8">
      <t>キネン</t>
    </rPh>
    <rPh sb="9" eb="11">
      <t>コクテツ</t>
    </rPh>
    <rPh sb="13" eb="14">
      <t>カイ</t>
    </rPh>
    <rPh sb="14" eb="16">
      <t>カメヤマ</t>
    </rPh>
    <rPh sb="16" eb="17">
      <t>シ</t>
    </rPh>
    <rPh sb="17" eb="18">
      <t>ブ</t>
    </rPh>
    <rPh sb="18" eb="20">
      <t>シュサイ</t>
    </rPh>
    <rPh sb="21" eb="24">
      <t>キカンシャ</t>
    </rPh>
    <rPh sb="25" eb="27">
      <t>コウカイ</t>
    </rPh>
    <rPh sb="27" eb="29">
      <t>テンジ</t>
    </rPh>
    <rPh sb="31" eb="33">
      <t>ジッシ</t>
    </rPh>
    <phoneticPr fontId="2"/>
  </si>
  <si>
    <t>弘法寺橋（中ノ川）が完成</t>
    <rPh sb="0" eb="3">
      <t>コウボウジ</t>
    </rPh>
    <rPh sb="3" eb="4">
      <t>ハシ</t>
    </rPh>
    <rPh sb="5" eb="6">
      <t>ナカ</t>
    </rPh>
    <rPh sb="7" eb="8">
      <t>カワ</t>
    </rPh>
    <rPh sb="10" eb="12">
      <t>カンセイ</t>
    </rPh>
    <phoneticPr fontId="2"/>
  </si>
  <si>
    <t>下庄町</t>
    <rPh sb="0" eb="3">
      <t>シモノショウチョウ</t>
    </rPh>
    <phoneticPr fontId="2"/>
  </si>
  <si>
    <t>弘法寺橋</t>
    <phoneticPr fontId="2"/>
  </si>
  <si>
    <t>東幼稚園園舎が東小の南側に完成</t>
    <rPh sb="0" eb="1">
      <t>ヒガシ</t>
    </rPh>
    <rPh sb="1" eb="4">
      <t>ヨウチエン</t>
    </rPh>
    <rPh sb="4" eb="5">
      <t>エン</t>
    </rPh>
    <rPh sb="5" eb="6">
      <t>シャ</t>
    </rPh>
    <rPh sb="7" eb="8">
      <t>ヒガシ</t>
    </rPh>
    <rPh sb="8" eb="9">
      <t>ショウ</t>
    </rPh>
    <rPh sb="10" eb="12">
      <t>ミナミガワ</t>
    </rPh>
    <rPh sb="13" eb="15">
      <t>カンセイ</t>
    </rPh>
    <phoneticPr fontId="2"/>
  </si>
  <si>
    <t>東幼稚園</t>
    <phoneticPr fontId="2"/>
  </si>
  <si>
    <t>日本の歴史の中の亀山／現代の亀山／教育と医療・福祉／幼稚園</t>
    <phoneticPr fontId="2"/>
  </si>
  <si>
    <t>関町が７５歳以上老人医療費を助成、無料化</t>
    <rPh sb="0" eb="2">
      <t>セキチョウ</t>
    </rPh>
    <rPh sb="5" eb="6">
      <t>サイ</t>
    </rPh>
    <rPh sb="6" eb="8">
      <t>イジョウ</t>
    </rPh>
    <rPh sb="8" eb="10">
      <t>ロウジン</t>
    </rPh>
    <rPh sb="10" eb="13">
      <t>イリョウヒ</t>
    </rPh>
    <rPh sb="14" eb="16">
      <t>ジョセイ</t>
    </rPh>
    <rPh sb="17" eb="20">
      <t>ムリョウカ</t>
    </rPh>
    <phoneticPr fontId="2"/>
  </si>
  <si>
    <t>関町が全国町村会より表彰</t>
    <rPh sb="0" eb="1">
      <t>セキ</t>
    </rPh>
    <rPh sb="1" eb="2">
      <t>マチ</t>
    </rPh>
    <rPh sb="3" eb="5">
      <t>ゼンコク</t>
    </rPh>
    <rPh sb="5" eb="7">
      <t>チョウソン</t>
    </rPh>
    <rPh sb="7" eb="8">
      <t>カイ</t>
    </rPh>
    <rPh sb="10" eb="12">
      <t>ヒョウショウ</t>
    </rPh>
    <phoneticPr fontId="2"/>
  </si>
  <si>
    <t>中部電力古里変電所より関地区へ送電開始</t>
    <rPh sb="0" eb="2">
      <t>チュウブ</t>
    </rPh>
    <rPh sb="2" eb="4">
      <t>デンリョク</t>
    </rPh>
    <rPh sb="4" eb="6">
      <t>フルサト</t>
    </rPh>
    <rPh sb="6" eb="8">
      <t>ヘンデン</t>
    </rPh>
    <rPh sb="8" eb="9">
      <t>ショ</t>
    </rPh>
    <rPh sb="11" eb="14">
      <t>セキチク</t>
    </rPh>
    <rPh sb="15" eb="17">
      <t>ソウデン</t>
    </rPh>
    <rPh sb="17" eb="19">
      <t>カイシ</t>
    </rPh>
    <phoneticPr fontId="2"/>
  </si>
  <si>
    <t>国鉄関駅、貨物の取扱を廃止</t>
    <rPh sb="0" eb="2">
      <t>コクテツ</t>
    </rPh>
    <rPh sb="2" eb="3">
      <t>セキ</t>
    </rPh>
    <rPh sb="3" eb="4">
      <t>エキ</t>
    </rPh>
    <rPh sb="5" eb="7">
      <t>カモツ</t>
    </rPh>
    <rPh sb="8" eb="10">
      <t>トリアツカイ</t>
    </rPh>
    <rPh sb="11" eb="13">
      <t>ハイシ</t>
    </rPh>
    <phoneticPr fontId="2"/>
  </si>
  <si>
    <t>関駅</t>
    <phoneticPr fontId="2"/>
  </si>
  <si>
    <t>NHK番組「ふるさとの歌まつり」に関の曳山車及び鈴鹿馬子唄出演（鈴鹿市民ホール、４月１３日放映）</t>
    <rPh sb="3" eb="5">
      <t>バングミ</t>
    </rPh>
    <rPh sb="11" eb="12">
      <t>ウタ</t>
    </rPh>
    <rPh sb="17" eb="18">
      <t>セキ</t>
    </rPh>
    <rPh sb="19" eb="20">
      <t>ヒ</t>
    </rPh>
    <rPh sb="20" eb="21">
      <t>ヤマ</t>
    </rPh>
    <rPh sb="21" eb="22">
      <t>クルマ</t>
    </rPh>
    <rPh sb="22" eb="23">
      <t>オヨ</t>
    </rPh>
    <rPh sb="24" eb="26">
      <t>スズカ</t>
    </rPh>
    <rPh sb="26" eb="29">
      <t>マゴウタ</t>
    </rPh>
    <rPh sb="29" eb="31">
      <t>シュツエン</t>
    </rPh>
    <rPh sb="32" eb="34">
      <t>スズカ</t>
    </rPh>
    <rPh sb="34" eb="36">
      <t>シミン</t>
    </rPh>
    <rPh sb="41" eb="42">
      <t>ガツ</t>
    </rPh>
    <rPh sb="44" eb="45">
      <t>ニチ</t>
    </rPh>
    <rPh sb="45" eb="47">
      <t>ホウエイ</t>
    </rPh>
    <phoneticPr fontId="2"/>
  </si>
  <si>
    <t>亀山のいいとこさがし／人々がつたえてきたこと／踊りや唄／関の山車</t>
    <phoneticPr fontId="2"/>
  </si>
  <si>
    <t>亀山のいいとこさがし／人々がつたえてきたこと／踊りや唄／鈴鹿馬子唄</t>
    <rPh sb="28" eb="30">
      <t>スズカ</t>
    </rPh>
    <rPh sb="30" eb="33">
      <t>マゴウタ</t>
    </rPh>
    <phoneticPr fontId="2"/>
  </si>
  <si>
    <t>http://kameyamarekihaku.jp/kodomo/w_e_b/iitoko/hitobito/odori/page007.html</t>
  </si>
  <si>
    <t>関町章が決まる（長野市の古井岩文子さん入選）</t>
    <rPh sb="0" eb="1">
      <t>セキ</t>
    </rPh>
    <rPh sb="1" eb="2">
      <t>マチ</t>
    </rPh>
    <rPh sb="2" eb="3">
      <t>ショウ</t>
    </rPh>
    <rPh sb="4" eb="5">
      <t>キ</t>
    </rPh>
    <rPh sb="8" eb="11">
      <t>ナガノシ</t>
    </rPh>
    <rPh sb="12" eb="13">
      <t>フル</t>
    </rPh>
    <rPh sb="13" eb="14">
      <t>イ</t>
    </rPh>
    <rPh sb="14" eb="15">
      <t>イワ</t>
    </rPh>
    <rPh sb="15" eb="17">
      <t>フミコ</t>
    </rPh>
    <rPh sb="19" eb="21">
      <t>ニュウセン</t>
    </rPh>
    <phoneticPr fontId="2"/>
  </si>
  <si>
    <t>鈴鹿、亀山地区広域市町村圏協議会設立</t>
    <rPh sb="0" eb="2">
      <t>スズカ</t>
    </rPh>
    <rPh sb="3" eb="5">
      <t>カメヤマ</t>
    </rPh>
    <rPh sb="5" eb="7">
      <t>チク</t>
    </rPh>
    <rPh sb="7" eb="9">
      <t>コウイキ</t>
    </rPh>
    <rPh sb="9" eb="12">
      <t>シチョウソン</t>
    </rPh>
    <rPh sb="12" eb="13">
      <t>ケン</t>
    </rPh>
    <rPh sb="13" eb="16">
      <t>キョウギカイ</t>
    </rPh>
    <rPh sb="16" eb="18">
      <t>セツリツ</t>
    </rPh>
    <phoneticPr fontId="2"/>
  </si>
  <si>
    <t>服部平義が旧亀山市名誉市民第１号となる</t>
    <rPh sb="0" eb="2">
      <t>ハットリ</t>
    </rPh>
    <rPh sb="2" eb="3">
      <t>ヘイ</t>
    </rPh>
    <rPh sb="3" eb="4">
      <t>ギ</t>
    </rPh>
    <rPh sb="5" eb="6">
      <t>キュウ</t>
    </rPh>
    <rPh sb="6" eb="9">
      <t>カメヤマシ</t>
    </rPh>
    <rPh sb="9" eb="11">
      <t>メイヨ</t>
    </rPh>
    <rPh sb="11" eb="13">
      <t>シミン</t>
    </rPh>
    <rPh sb="13" eb="14">
      <t>ダイ</t>
    </rPh>
    <rPh sb="15" eb="16">
      <t>ゴウ</t>
    </rPh>
    <phoneticPr fontId="2"/>
  </si>
  <si>
    <t>服部平義</t>
    <rPh sb="0" eb="2">
      <t>ハットリ</t>
    </rPh>
    <rPh sb="2" eb="3">
      <t>ヘイ</t>
    </rPh>
    <rPh sb="3" eb="4">
      <t>ギ</t>
    </rPh>
    <phoneticPr fontId="2"/>
  </si>
  <si>
    <t>亀山市の名誉市民／旧亀山市の名誉市民</t>
    <phoneticPr fontId="2"/>
  </si>
  <si>
    <t>『亀山のあゆみ』P.160・P.161・年表</t>
    <rPh sb="20" eb="22">
      <t>ネ</t>
    </rPh>
    <phoneticPr fontId="2"/>
  </si>
  <si>
    <t>昭和48</t>
  </si>
  <si>
    <t>石油危機がおこる</t>
  </si>
  <si>
    <t>井田川団地の第一次分譲が始まる</t>
    <rPh sb="0" eb="3">
      <t>イダガワ</t>
    </rPh>
    <rPh sb="3" eb="5">
      <t>ダンチ</t>
    </rPh>
    <rPh sb="6" eb="7">
      <t>ダイ</t>
    </rPh>
    <rPh sb="7" eb="9">
      <t>イチジ</t>
    </rPh>
    <rPh sb="9" eb="11">
      <t>ブンジョウ</t>
    </rPh>
    <rPh sb="12" eb="13">
      <t>ハジ</t>
    </rPh>
    <phoneticPr fontId="2"/>
  </si>
  <si>
    <t>野村橋完成</t>
    <rPh sb="0" eb="2">
      <t>ノムラ</t>
    </rPh>
    <rPh sb="2" eb="3">
      <t>ハシ</t>
    </rPh>
    <rPh sb="3" eb="5">
      <t>カンセイ</t>
    </rPh>
    <phoneticPr fontId="2"/>
  </si>
  <si>
    <t>野村町</t>
    <rPh sb="0" eb="3">
      <t>ノムラチョウ</t>
    </rPh>
    <phoneticPr fontId="2"/>
  </si>
  <si>
    <t>野村橋</t>
  </si>
  <si>
    <t>中庄橋完成</t>
    <rPh sb="0" eb="1">
      <t>ナカ</t>
    </rPh>
    <rPh sb="1" eb="2">
      <t>ショウ</t>
    </rPh>
    <rPh sb="2" eb="3">
      <t>ハシ</t>
    </rPh>
    <rPh sb="3" eb="5">
      <t>カンセイ</t>
    </rPh>
    <phoneticPr fontId="2"/>
  </si>
  <si>
    <t>中庄橋</t>
    <phoneticPr fontId="2"/>
  </si>
  <si>
    <t>弘法寺の薬師如来立像と鰐口を市の文化財に指定</t>
    <rPh sb="0" eb="3">
      <t>コウボウジ</t>
    </rPh>
    <rPh sb="4" eb="6">
      <t>ヤクシ</t>
    </rPh>
    <rPh sb="6" eb="8">
      <t>ニョライ</t>
    </rPh>
    <rPh sb="8" eb="9">
      <t>リツ</t>
    </rPh>
    <rPh sb="9" eb="10">
      <t>ゾウ</t>
    </rPh>
    <rPh sb="11" eb="12">
      <t>ワニ</t>
    </rPh>
    <rPh sb="12" eb="13">
      <t>グチ</t>
    </rPh>
    <rPh sb="14" eb="15">
      <t>シ</t>
    </rPh>
    <rPh sb="16" eb="19">
      <t>ブンカザイ</t>
    </rPh>
    <rPh sb="20" eb="22">
      <t>シテイ</t>
    </rPh>
    <phoneticPr fontId="2"/>
  </si>
  <si>
    <t>弘法寺の薬師如来立像</t>
    <rPh sb="8" eb="9">
      <t>リツ</t>
    </rPh>
    <phoneticPr fontId="2"/>
  </si>
  <si>
    <t>『亀山のあゆみ』P.453・年表</t>
    <rPh sb="14" eb="16">
      <t>ネ</t>
    </rPh>
    <phoneticPr fontId="2"/>
  </si>
  <si>
    <t>皇太子夫妻、来県の際に立ち寄る
亀山駅と沿道には約４０００人の市民が集まる</t>
    <rPh sb="0" eb="3">
      <t>コウタイシ</t>
    </rPh>
    <rPh sb="3" eb="5">
      <t>フサイ</t>
    </rPh>
    <rPh sb="6" eb="7">
      <t>ライ</t>
    </rPh>
    <rPh sb="7" eb="8">
      <t>ケン</t>
    </rPh>
    <rPh sb="9" eb="10">
      <t>サイ</t>
    </rPh>
    <rPh sb="11" eb="12">
      <t>タ</t>
    </rPh>
    <rPh sb="13" eb="14">
      <t>ヨ</t>
    </rPh>
    <rPh sb="16" eb="18">
      <t>カメヤマ</t>
    </rPh>
    <rPh sb="18" eb="19">
      <t>エキ</t>
    </rPh>
    <rPh sb="20" eb="22">
      <t>エンドウ</t>
    </rPh>
    <rPh sb="24" eb="25">
      <t>ヤク</t>
    </rPh>
    <rPh sb="29" eb="30">
      <t>ニン</t>
    </rPh>
    <rPh sb="31" eb="33">
      <t>シミン</t>
    </rPh>
    <rPh sb="34" eb="35">
      <t>アツ</t>
    </rPh>
    <phoneticPr fontId="2"/>
  </si>
  <si>
    <t>関西本線と紀勢本線から蒸気機関車消える</t>
    <rPh sb="0" eb="2">
      <t>カンサイ</t>
    </rPh>
    <rPh sb="2" eb="4">
      <t>ホンセン</t>
    </rPh>
    <rPh sb="5" eb="7">
      <t>キセイ</t>
    </rPh>
    <rPh sb="7" eb="9">
      <t>ホンセン</t>
    </rPh>
    <rPh sb="11" eb="13">
      <t>ジョウキ</t>
    </rPh>
    <rPh sb="13" eb="16">
      <t>キカンシャ</t>
    </rPh>
    <rPh sb="16" eb="17">
      <t>キ</t>
    </rPh>
    <phoneticPr fontId="2"/>
  </si>
  <si>
    <t>関町中心街一方通行となる</t>
    <rPh sb="0" eb="2">
      <t>セキチョウ</t>
    </rPh>
    <rPh sb="2" eb="4">
      <t>チュウシン</t>
    </rPh>
    <rPh sb="4" eb="5">
      <t>マチ</t>
    </rPh>
    <rPh sb="5" eb="7">
      <t>イッポウ</t>
    </rPh>
    <rPh sb="7" eb="9">
      <t>ツウコウ</t>
    </rPh>
    <phoneticPr fontId="2"/>
  </si>
  <si>
    <t>国が７０歳以上医療費の無料化に伴い、関町では所得制限にかかわらず医療費助成し全員無料化とする</t>
    <rPh sb="0" eb="1">
      <t>クニ</t>
    </rPh>
    <rPh sb="4" eb="5">
      <t>サイ</t>
    </rPh>
    <rPh sb="5" eb="7">
      <t>イジョウ</t>
    </rPh>
    <rPh sb="7" eb="10">
      <t>イリョウヒ</t>
    </rPh>
    <rPh sb="11" eb="14">
      <t>ムリョウカ</t>
    </rPh>
    <rPh sb="15" eb="16">
      <t>トモナ</t>
    </rPh>
    <rPh sb="18" eb="20">
      <t>セキチョウ</t>
    </rPh>
    <rPh sb="22" eb="24">
      <t>ショトク</t>
    </rPh>
    <rPh sb="24" eb="26">
      <t>セイゲン</t>
    </rPh>
    <rPh sb="32" eb="34">
      <t>イリョウ</t>
    </rPh>
    <rPh sb="34" eb="35">
      <t>ヒ</t>
    </rPh>
    <rPh sb="35" eb="37">
      <t>ジョセイ</t>
    </rPh>
    <rPh sb="38" eb="40">
      <t>ゼンイン</t>
    </rPh>
    <rPh sb="40" eb="43">
      <t>ムリョウカ</t>
    </rPh>
    <phoneticPr fontId="2"/>
  </si>
  <si>
    <t>関町健康委員制度発足</t>
    <rPh sb="0" eb="2">
      <t>セキチョウ</t>
    </rPh>
    <rPh sb="2" eb="4">
      <t>ケンコウ</t>
    </rPh>
    <rPh sb="4" eb="6">
      <t>イイン</t>
    </rPh>
    <rPh sb="6" eb="8">
      <t>セイド</t>
    </rPh>
    <rPh sb="8" eb="10">
      <t>ホッソク</t>
    </rPh>
    <phoneticPr fontId="2"/>
  </si>
  <si>
    <t>萩原団地の造成完成</t>
    <rPh sb="0" eb="2">
      <t>ハギワラ</t>
    </rPh>
    <rPh sb="2" eb="4">
      <t>ダンチ</t>
    </rPh>
    <rPh sb="5" eb="7">
      <t>ゾウセイ</t>
    </rPh>
    <rPh sb="7" eb="9">
      <t>カンセイ</t>
    </rPh>
    <phoneticPr fontId="2"/>
  </si>
  <si>
    <t>関ケ丘</t>
    <rPh sb="0" eb="1">
      <t>セキ</t>
    </rPh>
    <rPh sb="2" eb="3">
      <t>オカ</t>
    </rPh>
    <phoneticPr fontId="2"/>
  </si>
  <si>
    <t>観音山公園にC５０型蒸気機関車を展示</t>
    <rPh sb="0" eb="2">
      <t>カンノン</t>
    </rPh>
    <rPh sb="2" eb="3">
      <t>ヤマ</t>
    </rPh>
    <rPh sb="3" eb="5">
      <t>コウエン</t>
    </rPh>
    <rPh sb="9" eb="10">
      <t>カタ</t>
    </rPh>
    <rPh sb="10" eb="12">
      <t>ジョウキ</t>
    </rPh>
    <rPh sb="12" eb="15">
      <t>キカンシャ</t>
    </rPh>
    <rPh sb="16" eb="18">
      <t>テンジ</t>
    </rPh>
    <phoneticPr fontId="2"/>
  </si>
  <si>
    <t>亀山のいいとこさがし／景色のよいところや歴史を知る手掛かりとなるもの／山／名勝</t>
  </si>
  <si>
    <t>鈴鹿国定公園郵便切手（羽黒山・鎌ヶ岳）発行</t>
    <rPh sb="0" eb="2">
      <t>スズカ</t>
    </rPh>
    <rPh sb="2" eb="4">
      <t>コクテイ</t>
    </rPh>
    <rPh sb="4" eb="6">
      <t>コウエン</t>
    </rPh>
    <rPh sb="6" eb="8">
      <t>ユウビン</t>
    </rPh>
    <rPh sb="8" eb="10">
      <t>キッテ</t>
    </rPh>
    <rPh sb="11" eb="13">
      <t>ハグロ</t>
    </rPh>
    <rPh sb="13" eb="14">
      <t>ヤマ</t>
    </rPh>
    <rPh sb="15" eb="16">
      <t>カマ</t>
    </rPh>
    <rPh sb="17" eb="18">
      <t>タケ</t>
    </rPh>
    <rPh sb="19" eb="21">
      <t>ハッコウ</t>
    </rPh>
    <phoneticPr fontId="2"/>
  </si>
  <si>
    <t>鈴鹿国定公園</t>
    <phoneticPr fontId="2"/>
  </si>
  <si>
    <t>『鈴鹿関町史』下巻年表
『亀山市史』通史 原始古代中世</t>
    <rPh sb="1" eb="3">
      <t>スズカ</t>
    </rPh>
    <rPh sb="3" eb="4">
      <t>セキ</t>
    </rPh>
    <rPh sb="4" eb="6">
      <t>チョウシ</t>
    </rPh>
    <rPh sb="7" eb="9">
      <t>ゲカン</t>
    </rPh>
    <rPh sb="9" eb="10">
      <t>ネン</t>
    </rPh>
    <rPh sb="10" eb="11">
      <t>ヒョウ</t>
    </rPh>
    <rPh sb="12" eb="27">
      <t>ツ</t>
    </rPh>
    <phoneticPr fontId="2"/>
  </si>
  <si>
    <t>加太小学校改築完成</t>
    <rPh sb="0" eb="2">
      <t>カブト</t>
    </rPh>
    <rPh sb="2" eb="5">
      <t>ショウガッコウ</t>
    </rPh>
    <rPh sb="5" eb="7">
      <t>カイチク</t>
    </rPh>
    <rPh sb="7" eb="9">
      <t>カンセイ</t>
    </rPh>
    <phoneticPr fontId="2"/>
  </si>
  <si>
    <t>関町が「振替の町」宣言</t>
    <rPh sb="0" eb="2">
      <t>セキチョウ</t>
    </rPh>
    <rPh sb="4" eb="6">
      <t>フリカエ</t>
    </rPh>
    <rPh sb="7" eb="8">
      <t>マチ</t>
    </rPh>
    <rPh sb="9" eb="11">
      <t>センゲン</t>
    </rPh>
    <phoneticPr fontId="2"/>
  </si>
  <si>
    <t>関・坂下地区と加太地区の老人クラブ合併し、関町老人クラブを結成</t>
    <rPh sb="0" eb="1">
      <t>セキ</t>
    </rPh>
    <rPh sb="2" eb="4">
      <t>サカシタ</t>
    </rPh>
    <rPh sb="4" eb="6">
      <t>チク</t>
    </rPh>
    <rPh sb="7" eb="9">
      <t>カブト</t>
    </rPh>
    <rPh sb="9" eb="11">
      <t>チク</t>
    </rPh>
    <rPh sb="12" eb="14">
      <t>ロウジン</t>
    </rPh>
    <rPh sb="17" eb="19">
      <t>ガッペイ</t>
    </rPh>
    <rPh sb="21" eb="23">
      <t>セキチョウ</t>
    </rPh>
    <rPh sb="23" eb="25">
      <t>ロウジン</t>
    </rPh>
    <rPh sb="29" eb="31">
      <t>ケッセイ</t>
    </rPh>
    <phoneticPr fontId="2"/>
  </si>
  <si>
    <t>昭和49</t>
  </si>
  <si>
    <t>木下橋完成</t>
    <rPh sb="0" eb="1">
      <t>キ</t>
    </rPh>
    <rPh sb="2" eb="3">
      <t>ハシ</t>
    </rPh>
    <rPh sb="3" eb="5">
      <t>カンセイ</t>
    </rPh>
    <phoneticPr fontId="2"/>
  </si>
  <si>
    <t>木下町</t>
    <rPh sb="0" eb="3">
      <t>キノシタチョウ</t>
    </rPh>
    <phoneticPr fontId="2"/>
  </si>
  <si>
    <t>木下橋</t>
    <phoneticPr fontId="2"/>
  </si>
  <si>
    <t>井田川団地の新町名が「みどり町」に決まる</t>
    <rPh sb="0" eb="2">
      <t>イダ</t>
    </rPh>
    <rPh sb="2" eb="3">
      <t>ガワ</t>
    </rPh>
    <rPh sb="3" eb="5">
      <t>ダンチ</t>
    </rPh>
    <rPh sb="6" eb="7">
      <t>シン</t>
    </rPh>
    <rPh sb="7" eb="8">
      <t>マチ</t>
    </rPh>
    <rPh sb="8" eb="9">
      <t>ナ</t>
    </rPh>
    <rPh sb="14" eb="15">
      <t>マチ</t>
    </rPh>
    <rPh sb="17" eb="18">
      <t>キ</t>
    </rPh>
    <phoneticPr fontId="2"/>
  </si>
  <si>
    <t>ショウブ園が亀山公園北に完成</t>
    <rPh sb="4" eb="5">
      <t>エン</t>
    </rPh>
    <rPh sb="6" eb="8">
      <t>カメヤマ</t>
    </rPh>
    <rPh sb="8" eb="10">
      <t>コウエン</t>
    </rPh>
    <rPh sb="10" eb="11">
      <t>キタ</t>
    </rPh>
    <rPh sb="12" eb="14">
      <t>カンセイ</t>
    </rPh>
    <phoneticPr fontId="2"/>
  </si>
  <si>
    <t>ショウブ園</t>
    <phoneticPr fontId="2"/>
  </si>
  <si>
    <t>『亀山のあゆみ』P.314・年表</t>
    <phoneticPr fontId="2"/>
  </si>
  <si>
    <t>於奈気橋（中ノ川）完成</t>
    <rPh sb="0" eb="1">
      <t>オ</t>
    </rPh>
    <rPh sb="1" eb="2">
      <t>ナ</t>
    </rPh>
    <rPh sb="2" eb="3">
      <t>キ</t>
    </rPh>
    <rPh sb="3" eb="4">
      <t>ハシ</t>
    </rPh>
    <rPh sb="5" eb="6">
      <t>ナカ</t>
    </rPh>
    <rPh sb="7" eb="8">
      <t>カワ</t>
    </rPh>
    <rPh sb="9" eb="11">
      <t>カンセイ</t>
    </rPh>
    <phoneticPr fontId="2"/>
  </si>
  <si>
    <t>於奈気橋</t>
    <phoneticPr fontId="2"/>
  </si>
  <si>
    <t>葬儀用祭壇を２組購入し、市民に貸し出す
１回５０００円</t>
    <rPh sb="0" eb="2">
      <t>ソウギ</t>
    </rPh>
    <rPh sb="2" eb="3">
      <t>ヨウ</t>
    </rPh>
    <rPh sb="3" eb="5">
      <t>サイダン</t>
    </rPh>
    <rPh sb="7" eb="8">
      <t>クミ</t>
    </rPh>
    <rPh sb="8" eb="10">
      <t>コウニュウ</t>
    </rPh>
    <rPh sb="12" eb="14">
      <t>シミン</t>
    </rPh>
    <rPh sb="15" eb="16">
      <t>カ</t>
    </rPh>
    <rPh sb="17" eb="18">
      <t>ダ</t>
    </rPh>
    <rPh sb="21" eb="22">
      <t>カイ</t>
    </rPh>
    <rPh sb="26" eb="27">
      <t>エン</t>
    </rPh>
    <phoneticPr fontId="2"/>
  </si>
  <si>
    <t>亀山中央市場完成
西町から御幸町の国道１号沿いに移転</t>
    <rPh sb="0" eb="2">
      <t>カメヤマ</t>
    </rPh>
    <rPh sb="2" eb="4">
      <t>チュウオウ</t>
    </rPh>
    <rPh sb="4" eb="6">
      <t>イチバ</t>
    </rPh>
    <rPh sb="6" eb="8">
      <t>カンセイ</t>
    </rPh>
    <rPh sb="9" eb="10">
      <t>ニシ</t>
    </rPh>
    <rPh sb="10" eb="11">
      <t>マチ</t>
    </rPh>
    <rPh sb="13" eb="16">
      <t>ミユキチョウ</t>
    </rPh>
    <rPh sb="17" eb="19">
      <t>コクドウ</t>
    </rPh>
    <rPh sb="20" eb="21">
      <t>ゴウ</t>
    </rPh>
    <rPh sb="21" eb="22">
      <t>ソ</t>
    </rPh>
    <rPh sb="24" eb="26">
      <t>イテン</t>
    </rPh>
    <phoneticPr fontId="2"/>
  </si>
  <si>
    <t>御幸町</t>
    <phoneticPr fontId="2"/>
  </si>
  <si>
    <t>亀山中央市場</t>
    <phoneticPr fontId="2"/>
  </si>
  <si>
    <t>安知本に簡易郵便局新設</t>
    <rPh sb="0" eb="1">
      <t>ヤス</t>
    </rPh>
    <rPh sb="1" eb="2">
      <t>チ</t>
    </rPh>
    <rPh sb="2" eb="3">
      <t>モト</t>
    </rPh>
    <rPh sb="4" eb="6">
      <t>カンイ</t>
    </rPh>
    <rPh sb="6" eb="9">
      <t>ユウビンキョク</t>
    </rPh>
    <rPh sb="9" eb="11">
      <t>シンセツ</t>
    </rPh>
    <phoneticPr fontId="2"/>
  </si>
  <si>
    <t>安知本町</t>
    <rPh sb="3" eb="4">
      <t>チョウ</t>
    </rPh>
    <phoneticPr fontId="2"/>
  </si>
  <si>
    <t>安知本郵便局</t>
    <phoneticPr fontId="2"/>
  </si>
  <si>
    <t>集中豪雨の被害を受ける
亀山市では、住家全半壊１７戸、床上床下浸水９３５戸、田畑は約１１０ｈａが埋没流失、５００ｈａが冠水、道路や橋河川、水道など７３２ヵ所が被災
亀山市に災害救助法が適用される
関町では、重傷者１名、半壊２戸、床上床下浸水３１２戸、おとら川氾濫、土砂くずれによる町道損壊多い</t>
    <rPh sb="12" eb="15">
      <t>カメヤマシ</t>
    </rPh>
    <rPh sb="18" eb="19">
      <t>ス</t>
    </rPh>
    <rPh sb="19" eb="20">
      <t>イエ</t>
    </rPh>
    <rPh sb="20" eb="23">
      <t>ゼンハンカイ</t>
    </rPh>
    <rPh sb="25" eb="26">
      <t>コ</t>
    </rPh>
    <rPh sb="27" eb="29">
      <t>ユカウエ</t>
    </rPh>
    <rPh sb="29" eb="31">
      <t>ユカシタ</t>
    </rPh>
    <rPh sb="31" eb="33">
      <t>シンスイ</t>
    </rPh>
    <rPh sb="36" eb="37">
      <t>コ</t>
    </rPh>
    <rPh sb="38" eb="40">
      <t>タハタ</t>
    </rPh>
    <rPh sb="41" eb="42">
      <t>ヤク</t>
    </rPh>
    <rPh sb="48" eb="50">
      <t>マイボツ</t>
    </rPh>
    <rPh sb="50" eb="52">
      <t>リュウシツ</t>
    </rPh>
    <rPh sb="59" eb="61">
      <t>カンスイ</t>
    </rPh>
    <rPh sb="62" eb="64">
      <t>ドウロ</t>
    </rPh>
    <rPh sb="65" eb="66">
      <t>ハシ</t>
    </rPh>
    <rPh sb="66" eb="68">
      <t>カセン</t>
    </rPh>
    <rPh sb="69" eb="71">
      <t>スイドウ</t>
    </rPh>
    <rPh sb="77" eb="78">
      <t>ショ</t>
    </rPh>
    <rPh sb="79" eb="81">
      <t>ヒサイ</t>
    </rPh>
    <rPh sb="82" eb="85">
      <t>カメヤマシ</t>
    </rPh>
    <rPh sb="86" eb="88">
      <t>サイガイ</t>
    </rPh>
    <rPh sb="88" eb="91">
      <t>キュウジョホウ</t>
    </rPh>
    <rPh sb="92" eb="94">
      <t>テキヨウ</t>
    </rPh>
    <rPh sb="98" eb="100">
      <t>セキチョウ</t>
    </rPh>
    <rPh sb="103" eb="106">
      <t>ジュウショウシャ</t>
    </rPh>
    <rPh sb="107" eb="108">
      <t>メイ</t>
    </rPh>
    <rPh sb="109" eb="111">
      <t>ハンカイ</t>
    </rPh>
    <rPh sb="112" eb="113">
      <t>コ</t>
    </rPh>
    <rPh sb="114" eb="116">
      <t>ユカウエ</t>
    </rPh>
    <rPh sb="116" eb="118">
      <t>ユカシタ</t>
    </rPh>
    <rPh sb="118" eb="120">
      <t>シンスイ</t>
    </rPh>
    <rPh sb="123" eb="124">
      <t>コ</t>
    </rPh>
    <rPh sb="128" eb="129">
      <t>カワ</t>
    </rPh>
    <rPh sb="129" eb="131">
      <t>ハンラン</t>
    </rPh>
    <rPh sb="132" eb="134">
      <t>ドシャ</t>
    </rPh>
    <rPh sb="140" eb="141">
      <t>マチ</t>
    </rPh>
    <rPh sb="141" eb="142">
      <t>ミチ</t>
    </rPh>
    <rPh sb="142" eb="144">
      <t>ソンカイ</t>
    </rPh>
    <rPh sb="144" eb="145">
      <t>オオ</t>
    </rPh>
    <phoneticPr fontId="2"/>
  </si>
  <si>
    <t>『亀山のあゆみ』P.168・年表
『鈴鹿関町史』下巻年表
『亀山市史』歴史分野</t>
    <rPh sb="14" eb="16">
      <t>ネンピョウ</t>
    </rPh>
    <rPh sb="18" eb="20">
      <t>スズカ</t>
    </rPh>
    <rPh sb="20" eb="22">
      <t>セキチョウ</t>
    </rPh>
    <rPh sb="22" eb="23">
      <t>シ</t>
    </rPh>
    <rPh sb="24" eb="26">
      <t>ゲカン</t>
    </rPh>
    <rPh sb="26" eb="28">
      <t>ネンピョウ</t>
    </rPh>
    <rPh sb="30" eb="33">
      <t>カメヤマシ</t>
    </rPh>
    <rPh sb="33" eb="34">
      <t>シ</t>
    </rPh>
    <rPh sb="35" eb="37">
      <t>レキシ</t>
    </rPh>
    <rPh sb="37" eb="39">
      <t>ブンヤ</t>
    </rPh>
    <phoneticPr fontId="2"/>
  </si>
  <si>
    <t>日本の歴史の中の亀山／現代の亀山／自然災害／台風や集中豪雨による水害／1974年（昭和49）7月25日集中豪雨</t>
    <rPh sb="17" eb="19">
      <t>シゼン</t>
    </rPh>
    <rPh sb="19" eb="21">
      <t>サイガイ</t>
    </rPh>
    <rPh sb="22" eb="24">
      <t>タイフウ</t>
    </rPh>
    <rPh sb="25" eb="27">
      <t>シュウチュウ</t>
    </rPh>
    <rPh sb="27" eb="29">
      <t>ゴウウ</t>
    </rPh>
    <rPh sb="32" eb="34">
      <t>スイガイ</t>
    </rPh>
    <rPh sb="39" eb="40">
      <t>ネン</t>
    </rPh>
    <rPh sb="41" eb="43">
      <t>ショウワ</t>
    </rPh>
    <rPh sb="47" eb="48">
      <t>ガツ</t>
    </rPh>
    <rPh sb="50" eb="51">
      <t>ニチ</t>
    </rPh>
    <rPh sb="51" eb="53">
      <t>シュウチュウ</t>
    </rPh>
    <rPh sb="53" eb="55">
      <t>ゴウウ</t>
    </rPh>
    <phoneticPr fontId="2"/>
  </si>
  <si>
    <t>http://kameyamarekihaku.jp/kodomo/w_e_b/rekishi/gendai/saigai/suigai/page004.html</t>
  </si>
  <si>
    <t>安楽越林道完成</t>
    <rPh sb="0" eb="2">
      <t>アンラク</t>
    </rPh>
    <rPh sb="2" eb="3">
      <t>コ</t>
    </rPh>
    <rPh sb="3" eb="5">
      <t>リンドウ</t>
    </rPh>
    <rPh sb="5" eb="7">
      <t>カンセイ</t>
    </rPh>
    <phoneticPr fontId="2"/>
  </si>
  <si>
    <t>安楽越林道</t>
    <phoneticPr fontId="2"/>
  </si>
  <si>
    <t>市制２０周年記念映画「緑と太陽の街・亀山市」が完成</t>
    <rPh sb="0" eb="2">
      <t>シセイ</t>
    </rPh>
    <rPh sb="4" eb="6">
      <t>シュウネン</t>
    </rPh>
    <rPh sb="6" eb="8">
      <t>キネン</t>
    </rPh>
    <rPh sb="8" eb="10">
      <t>エイガ</t>
    </rPh>
    <rPh sb="11" eb="12">
      <t>ミドリ</t>
    </rPh>
    <rPh sb="13" eb="15">
      <t>タイヨウ</t>
    </rPh>
    <rPh sb="16" eb="17">
      <t>マチ</t>
    </rPh>
    <rPh sb="18" eb="20">
      <t>カメヤマ</t>
    </rPh>
    <rPh sb="20" eb="21">
      <t>シ</t>
    </rPh>
    <rPh sb="23" eb="25">
      <t>カンセイ</t>
    </rPh>
    <phoneticPr fontId="2"/>
  </si>
  <si>
    <t>市制２０周年記念式典挙行
市の木に「もみ」、市の花に「花しょうぶ」選定</t>
    <rPh sb="0" eb="2">
      <t>シセイ</t>
    </rPh>
    <rPh sb="4" eb="6">
      <t>シュウネン</t>
    </rPh>
    <rPh sb="6" eb="8">
      <t>キネン</t>
    </rPh>
    <rPh sb="8" eb="10">
      <t>シキテン</t>
    </rPh>
    <rPh sb="10" eb="12">
      <t>キョコウ</t>
    </rPh>
    <rPh sb="13" eb="14">
      <t>シ</t>
    </rPh>
    <rPh sb="15" eb="16">
      <t>キ</t>
    </rPh>
    <rPh sb="22" eb="23">
      <t>シ</t>
    </rPh>
    <rPh sb="24" eb="25">
      <t>ハナ</t>
    </rPh>
    <rPh sb="27" eb="28">
      <t>ハナ</t>
    </rPh>
    <rPh sb="33" eb="35">
      <t>センテイ</t>
    </rPh>
    <phoneticPr fontId="2"/>
  </si>
  <si>
    <t>不燃物の投棄所が若山投棄所から八輪ごみ焼却場裏へ変更となる</t>
    <rPh sb="0" eb="3">
      <t>フネンブツ</t>
    </rPh>
    <rPh sb="4" eb="6">
      <t>トウキ</t>
    </rPh>
    <rPh sb="6" eb="7">
      <t>ショ</t>
    </rPh>
    <rPh sb="8" eb="10">
      <t>ワカヤマ</t>
    </rPh>
    <rPh sb="10" eb="12">
      <t>トウキ</t>
    </rPh>
    <rPh sb="12" eb="13">
      <t>ショ</t>
    </rPh>
    <rPh sb="15" eb="16">
      <t>ハチ</t>
    </rPh>
    <rPh sb="16" eb="17">
      <t>ワ</t>
    </rPh>
    <rPh sb="19" eb="21">
      <t>ショウキャク</t>
    </rPh>
    <rPh sb="21" eb="22">
      <t>バ</t>
    </rPh>
    <rPh sb="22" eb="23">
      <t>ウラ</t>
    </rPh>
    <rPh sb="24" eb="26">
      <t>ヘンコウ</t>
    </rPh>
    <phoneticPr fontId="2"/>
  </si>
  <si>
    <t>布気町</t>
    <rPh sb="0" eb="2">
      <t>フケ</t>
    </rPh>
    <rPh sb="2" eb="3">
      <t>チョウ</t>
    </rPh>
    <phoneticPr fontId="2"/>
  </si>
  <si>
    <t>不燃物の投棄所</t>
    <phoneticPr fontId="2"/>
  </si>
  <si>
    <t>日本の歴史の中の亀山／現代の亀山／行政と政治／ごみ処理場</t>
    <phoneticPr fontId="2"/>
  </si>
  <si>
    <t>小川町に市内初の生活改善センター完成</t>
    <rPh sb="0" eb="3">
      <t>オガワチョウ</t>
    </rPh>
    <rPh sb="4" eb="6">
      <t>シナイ</t>
    </rPh>
    <rPh sb="6" eb="7">
      <t>ハツ</t>
    </rPh>
    <rPh sb="8" eb="10">
      <t>セイカツ</t>
    </rPh>
    <rPh sb="10" eb="12">
      <t>カイゼン</t>
    </rPh>
    <rPh sb="16" eb="18">
      <t>カンセイ</t>
    </rPh>
    <phoneticPr fontId="2"/>
  </si>
  <si>
    <t>小川町</t>
    <phoneticPr fontId="2"/>
  </si>
  <si>
    <t>生活改善センター</t>
    <phoneticPr fontId="2"/>
  </si>
  <si>
    <t>亀山東町商店街振興会結成</t>
    <rPh sb="0" eb="2">
      <t>カメヤマ</t>
    </rPh>
    <rPh sb="2" eb="3">
      <t>ヒガシ</t>
    </rPh>
    <rPh sb="3" eb="4">
      <t>マチ</t>
    </rPh>
    <rPh sb="4" eb="7">
      <t>ショウテンガイ</t>
    </rPh>
    <rPh sb="7" eb="10">
      <t>シンコウカイ</t>
    </rPh>
    <rPh sb="10" eb="12">
      <t>ケッセイ</t>
    </rPh>
    <phoneticPr fontId="2"/>
  </si>
  <si>
    <t>日本の歴史の中の亀山／現代の亀山／産業／商業／商店街</t>
    <rPh sb="20" eb="22">
      <t>ショウギョウ</t>
    </rPh>
    <rPh sb="23" eb="26">
      <t>ショウテンガイ</t>
    </rPh>
    <phoneticPr fontId="2"/>
  </si>
  <si>
    <t>http://kameyamarekihaku.jp/kodomo/w_e_b/rekishi/gendai/sangyo/syogyo/page001.html</t>
  </si>
  <si>
    <t>『亀山のあゆみ』年表
『亀山市史』通史　近代現代
『亀山市史』通史　近代現代</t>
    <rPh sb="8" eb="10">
      <t>ネンピョウ</t>
    </rPh>
    <rPh sb="11" eb="24">
      <t>ツ</t>
    </rPh>
    <rPh sb="25" eb="38">
      <t>ゲ</t>
    </rPh>
    <phoneticPr fontId="2"/>
  </si>
  <si>
    <t>社団法人亀山青年会議所開所</t>
    <rPh sb="0" eb="2">
      <t>シャダン</t>
    </rPh>
    <rPh sb="2" eb="4">
      <t>ホウジン</t>
    </rPh>
    <rPh sb="4" eb="6">
      <t>カメヤマ</t>
    </rPh>
    <rPh sb="6" eb="8">
      <t>セイネン</t>
    </rPh>
    <rPh sb="8" eb="11">
      <t>カイギショ</t>
    </rPh>
    <rPh sb="11" eb="13">
      <t>カイショ</t>
    </rPh>
    <phoneticPr fontId="2"/>
  </si>
  <si>
    <t>新椋川橋が完成</t>
    <rPh sb="0" eb="1">
      <t>シン</t>
    </rPh>
    <rPh sb="1" eb="2">
      <t>ムク</t>
    </rPh>
    <rPh sb="2" eb="3">
      <t>カワ</t>
    </rPh>
    <rPh sb="3" eb="4">
      <t>ハシ</t>
    </rPh>
    <rPh sb="5" eb="7">
      <t>カンセイ</t>
    </rPh>
    <phoneticPr fontId="2"/>
  </si>
  <si>
    <t>新椋川橋</t>
  </si>
  <si>
    <t>関中部地区簡易水道、上水道に切り替え</t>
    <rPh sb="0" eb="1">
      <t>セキ</t>
    </rPh>
    <rPh sb="1" eb="3">
      <t>チュウブ</t>
    </rPh>
    <rPh sb="3" eb="5">
      <t>チク</t>
    </rPh>
    <rPh sb="5" eb="7">
      <t>カンイ</t>
    </rPh>
    <rPh sb="7" eb="9">
      <t>スイドウ</t>
    </rPh>
    <rPh sb="10" eb="13">
      <t>ジョウスイドウ</t>
    </rPh>
    <rPh sb="14" eb="15">
      <t>キ</t>
    </rPh>
    <rPh sb="16" eb="17">
      <t>カ</t>
    </rPh>
    <phoneticPr fontId="2"/>
  </si>
  <si>
    <t>関町母子家庭児童医療費助成制度（義務教育終了前の児童に適用）開始</t>
    <rPh sb="0" eb="2">
      <t>セキチョウ</t>
    </rPh>
    <rPh sb="2" eb="4">
      <t>ボシ</t>
    </rPh>
    <rPh sb="4" eb="6">
      <t>カテイ</t>
    </rPh>
    <rPh sb="6" eb="8">
      <t>ジドウ</t>
    </rPh>
    <rPh sb="8" eb="10">
      <t>イリョウ</t>
    </rPh>
    <rPh sb="10" eb="11">
      <t>ヒ</t>
    </rPh>
    <rPh sb="11" eb="13">
      <t>ジョセイ</t>
    </rPh>
    <rPh sb="13" eb="15">
      <t>セイド</t>
    </rPh>
    <rPh sb="16" eb="18">
      <t>ギム</t>
    </rPh>
    <rPh sb="18" eb="20">
      <t>キョウイク</t>
    </rPh>
    <rPh sb="20" eb="22">
      <t>シュウリョウ</t>
    </rPh>
    <rPh sb="22" eb="23">
      <t>マエ</t>
    </rPh>
    <rPh sb="24" eb="26">
      <t>ジドウ</t>
    </rPh>
    <rPh sb="27" eb="29">
      <t>テキヨウ</t>
    </rPh>
    <rPh sb="30" eb="32">
      <t>カイシ</t>
    </rPh>
    <phoneticPr fontId="2"/>
  </si>
  <si>
    <t>観音山公園につり橋（聖橋）完成</t>
    <rPh sb="0" eb="5">
      <t>カンノンヤマコウエン</t>
    </rPh>
    <rPh sb="8" eb="9">
      <t>ハシ</t>
    </rPh>
    <rPh sb="10" eb="11">
      <t>ヒジリ</t>
    </rPh>
    <rPh sb="11" eb="12">
      <t>ハシ</t>
    </rPh>
    <rPh sb="13" eb="15">
      <t>カンセイ</t>
    </rPh>
    <phoneticPr fontId="2"/>
  </si>
  <si>
    <t>観音山公園</t>
    <phoneticPr fontId="2"/>
  </si>
  <si>
    <t>坂下地区（坂下・沓掛・市瀬の一部）簡易水道による給水開始</t>
    <rPh sb="0" eb="2">
      <t>サカシタ</t>
    </rPh>
    <rPh sb="2" eb="4">
      <t>チク</t>
    </rPh>
    <rPh sb="5" eb="7">
      <t>サカシタ</t>
    </rPh>
    <rPh sb="8" eb="10">
      <t>クツカケ</t>
    </rPh>
    <rPh sb="11" eb="13">
      <t>イチノセ</t>
    </rPh>
    <rPh sb="14" eb="16">
      <t>イチブ</t>
    </rPh>
    <rPh sb="17" eb="19">
      <t>カンイ</t>
    </rPh>
    <rPh sb="19" eb="21">
      <t>スイドウ</t>
    </rPh>
    <rPh sb="24" eb="26">
      <t>キュウスイ</t>
    </rPh>
    <rPh sb="26" eb="28">
      <t>カイシ</t>
    </rPh>
    <phoneticPr fontId="2"/>
  </si>
  <si>
    <t>昭和50</t>
    <rPh sb="0" eb="2">
      <t>ショウワ</t>
    </rPh>
    <phoneticPr fontId="2"/>
  </si>
  <si>
    <t>心形刀流武芸形が県無形文化財に指定される</t>
    <rPh sb="0" eb="1">
      <t>ココロ</t>
    </rPh>
    <rPh sb="1" eb="2">
      <t>カタチ</t>
    </rPh>
    <rPh sb="2" eb="3">
      <t>カタナ</t>
    </rPh>
    <rPh sb="3" eb="4">
      <t>リュウ</t>
    </rPh>
    <rPh sb="4" eb="6">
      <t>ブゲイ</t>
    </rPh>
    <rPh sb="6" eb="7">
      <t>カタ</t>
    </rPh>
    <rPh sb="8" eb="9">
      <t>ケン</t>
    </rPh>
    <rPh sb="9" eb="11">
      <t>ムケイ</t>
    </rPh>
    <rPh sb="11" eb="14">
      <t>ブンカザイ</t>
    </rPh>
    <rPh sb="15" eb="17">
      <t>シテイ</t>
    </rPh>
    <phoneticPr fontId="2"/>
  </si>
  <si>
    <t>亀山のいいとこさがし／人々がつたえてきたこと／技や仕事／心形刀流武芸形</t>
    <rPh sb="23" eb="24">
      <t>ワザ</t>
    </rPh>
    <rPh sb="25" eb="27">
      <t>シゴト</t>
    </rPh>
    <rPh sb="28" eb="29">
      <t>シン</t>
    </rPh>
    <rPh sb="29" eb="30">
      <t>ギョウ</t>
    </rPh>
    <rPh sb="30" eb="31">
      <t>トウ</t>
    </rPh>
    <rPh sb="31" eb="32">
      <t>リュウ</t>
    </rPh>
    <rPh sb="32" eb="34">
      <t>ブゲイ</t>
    </rPh>
    <rPh sb="34" eb="35">
      <t>ガタ</t>
    </rPh>
    <phoneticPr fontId="2"/>
  </si>
  <si>
    <t>『亀山のあゆみ』P.451・年表
『亀山市史』通史　近代現代
平成25年度亀山市地域歴史遺産（亀山藩御流儀心形刀流武芸形）保存継承活用事業パンフレット</t>
    <rPh sb="14" eb="16">
      <t>ネ</t>
    </rPh>
    <rPh sb="17" eb="30">
      <t>ツ</t>
    </rPh>
    <phoneticPr fontId="2"/>
  </si>
  <si>
    <t>安楽越林道開通式</t>
    <rPh sb="0" eb="2">
      <t>アンラク</t>
    </rPh>
    <rPh sb="2" eb="3">
      <t>コ</t>
    </rPh>
    <rPh sb="3" eb="5">
      <t>リンドウ</t>
    </rPh>
    <rPh sb="5" eb="7">
      <t>カイツウ</t>
    </rPh>
    <rPh sb="7" eb="8">
      <t>シキ</t>
    </rPh>
    <phoneticPr fontId="2"/>
  </si>
  <si>
    <t>西畑農道竣工</t>
    <rPh sb="0" eb="1">
      <t>ニシ</t>
    </rPh>
    <rPh sb="1" eb="2">
      <t>ハタケ</t>
    </rPh>
    <rPh sb="2" eb="4">
      <t>ノウドウ</t>
    </rPh>
    <rPh sb="4" eb="6">
      <t>シュンコウ</t>
    </rPh>
    <phoneticPr fontId="2"/>
  </si>
  <si>
    <t>西畑農道</t>
    <phoneticPr fontId="2"/>
  </si>
  <si>
    <t>関町合併２０周年記念式典挙行</t>
    <rPh sb="0" eb="2">
      <t>セキチョウ</t>
    </rPh>
    <rPh sb="2" eb="4">
      <t>ガッペイ</t>
    </rPh>
    <rPh sb="6" eb="8">
      <t>シュウネン</t>
    </rPh>
    <rPh sb="8" eb="10">
      <t>キネン</t>
    </rPh>
    <rPh sb="10" eb="12">
      <t>シキテン</t>
    </rPh>
    <rPh sb="12" eb="14">
      <t>キョコウ</t>
    </rPh>
    <phoneticPr fontId="2"/>
  </si>
  <si>
    <t>伊勢神宮一の鳥居（木崎追分）のお木曳を盛大に挙行</t>
    <rPh sb="0" eb="4">
      <t>イセジングウ</t>
    </rPh>
    <rPh sb="4" eb="5">
      <t>イチ</t>
    </rPh>
    <rPh sb="6" eb="8">
      <t>トリイ</t>
    </rPh>
    <rPh sb="9" eb="10">
      <t>キ</t>
    </rPh>
    <rPh sb="10" eb="11">
      <t>サキ</t>
    </rPh>
    <rPh sb="11" eb="13">
      <t>オイワケ</t>
    </rPh>
    <rPh sb="16" eb="17">
      <t>キ</t>
    </rPh>
    <rPh sb="17" eb="18">
      <t>ヒ</t>
    </rPh>
    <rPh sb="19" eb="21">
      <t>セイダイ</t>
    </rPh>
    <rPh sb="22" eb="24">
      <t>キョコウ</t>
    </rPh>
    <phoneticPr fontId="2"/>
  </si>
  <si>
    <t>関保育園新築竣工式</t>
    <rPh sb="0" eb="1">
      <t>セキ</t>
    </rPh>
    <rPh sb="1" eb="4">
      <t>ホイクエン</t>
    </rPh>
    <rPh sb="4" eb="6">
      <t>シンチク</t>
    </rPh>
    <rPh sb="6" eb="8">
      <t>シュンコウ</t>
    </rPh>
    <rPh sb="8" eb="9">
      <t>シキ</t>
    </rPh>
    <phoneticPr fontId="2"/>
  </si>
  <si>
    <t>関保育園</t>
    <phoneticPr fontId="2"/>
  </si>
  <si>
    <t>関小学校西線南進禁止（午前７時～午後７時）</t>
    <rPh sb="0" eb="1">
      <t>セキ</t>
    </rPh>
    <rPh sb="1" eb="4">
      <t>ショウガッコウ</t>
    </rPh>
    <rPh sb="4" eb="5">
      <t>ニシ</t>
    </rPh>
    <rPh sb="5" eb="6">
      <t>セン</t>
    </rPh>
    <rPh sb="6" eb="8">
      <t>ナンシン</t>
    </rPh>
    <rPh sb="8" eb="10">
      <t>キンシ</t>
    </rPh>
    <rPh sb="11" eb="13">
      <t>ゴゼン</t>
    </rPh>
    <rPh sb="14" eb="15">
      <t>ジ</t>
    </rPh>
    <rPh sb="16" eb="18">
      <t>ゴゴ</t>
    </rPh>
    <rPh sb="19" eb="20">
      <t>ジ</t>
    </rPh>
    <phoneticPr fontId="2"/>
  </si>
  <si>
    <t>萩原・古厩両境で古瓦（奈良時代初期）が出土</t>
    <rPh sb="0" eb="2">
      <t>ハギワラ</t>
    </rPh>
    <rPh sb="3" eb="5">
      <t>フルマヤ</t>
    </rPh>
    <rPh sb="5" eb="6">
      <t>リョウ</t>
    </rPh>
    <rPh sb="6" eb="7">
      <t>サカイ</t>
    </rPh>
    <rPh sb="8" eb="9">
      <t>フル</t>
    </rPh>
    <rPh sb="9" eb="10">
      <t>カワラ</t>
    </rPh>
    <rPh sb="11" eb="13">
      <t>ナラ</t>
    </rPh>
    <rPh sb="13" eb="15">
      <t>ジダイ</t>
    </rPh>
    <rPh sb="15" eb="17">
      <t>ショキ</t>
    </rPh>
    <rPh sb="19" eb="21">
      <t>シュツド</t>
    </rPh>
    <phoneticPr fontId="2"/>
  </si>
  <si>
    <t>関町萩原・関町古厩</t>
    <rPh sb="0" eb="1">
      <t>セキ</t>
    </rPh>
    <rPh sb="1" eb="2">
      <t>チョウ</t>
    </rPh>
    <rPh sb="5" eb="6">
      <t>セキ</t>
    </rPh>
    <rPh sb="6" eb="7">
      <t>チョウ</t>
    </rPh>
    <phoneticPr fontId="2"/>
  </si>
  <si>
    <t>『鈴鹿関町史』下巻年表
『関町五十周年記念誌』
『切山瓦窯跡・浦ノ山中世墓（旧哀ノ山遺跡）発掘調査報告』
『亀山市史』考古分野</t>
    <rPh sb="1" eb="3">
      <t>スズカ</t>
    </rPh>
    <rPh sb="3" eb="4">
      <t>セキ</t>
    </rPh>
    <rPh sb="4" eb="6">
      <t>チョウシ</t>
    </rPh>
    <rPh sb="7" eb="9">
      <t>ゲカン</t>
    </rPh>
    <rPh sb="9" eb="10">
      <t>ネン</t>
    </rPh>
    <rPh sb="10" eb="11">
      <t>ヒョウ</t>
    </rPh>
    <rPh sb="31" eb="32">
      <t>ウラ</t>
    </rPh>
    <rPh sb="33" eb="34">
      <t>ヤマ</t>
    </rPh>
    <rPh sb="34" eb="36">
      <t>チュウセイ</t>
    </rPh>
    <rPh sb="36" eb="37">
      <t>ハカ</t>
    </rPh>
    <rPh sb="38" eb="39">
      <t>キュウ</t>
    </rPh>
    <rPh sb="39" eb="40">
      <t>アイ</t>
    </rPh>
    <rPh sb="41" eb="42">
      <t>ヤマ</t>
    </rPh>
    <rPh sb="42" eb="44">
      <t>イセキ</t>
    </rPh>
    <rPh sb="45" eb="47">
      <t>ハックツ</t>
    </rPh>
    <rPh sb="47" eb="49">
      <t>チョウサ</t>
    </rPh>
    <rPh sb="49" eb="51">
      <t>ホウコク</t>
    </rPh>
    <rPh sb="53" eb="63">
      <t>カ</t>
    </rPh>
    <phoneticPr fontId="2"/>
  </si>
  <si>
    <t>伊勢自動車道（関～久居）開通</t>
    <rPh sb="0" eb="2">
      <t>イセ</t>
    </rPh>
    <rPh sb="2" eb="5">
      <t>ジドウシャ</t>
    </rPh>
    <rPh sb="5" eb="6">
      <t>ミチ</t>
    </rPh>
    <rPh sb="7" eb="8">
      <t>セキ</t>
    </rPh>
    <rPh sb="9" eb="11">
      <t>ヒサイ</t>
    </rPh>
    <rPh sb="12" eb="14">
      <t>カイツウ</t>
    </rPh>
    <phoneticPr fontId="2"/>
  </si>
  <si>
    <t>伊勢自動車道</t>
    <phoneticPr fontId="2"/>
  </si>
  <si>
    <t>『鈴鹿関町史』下巻年表
『関町五十周年記念誌』
『亀山のあゆみ』P.228・年表</t>
    <rPh sb="1" eb="3">
      <t>スズカ</t>
    </rPh>
    <rPh sb="3" eb="4">
      <t>セキ</t>
    </rPh>
    <rPh sb="4" eb="6">
      <t>チョウシ</t>
    </rPh>
    <rPh sb="7" eb="9">
      <t>ゲカン</t>
    </rPh>
    <rPh sb="9" eb="10">
      <t>ネン</t>
    </rPh>
    <rPh sb="10" eb="11">
      <t>ヒョウ</t>
    </rPh>
    <rPh sb="25" eb="27">
      <t>カメヤマ</t>
    </rPh>
    <rPh sb="38" eb="40">
      <t>ネ</t>
    </rPh>
    <phoneticPr fontId="2"/>
  </si>
  <si>
    <t>東名阪自動車道（亀山～蟹江）開通</t>
    <rPh sb="0" eb="1">
      <t>ヒガシ</t>
    </rPh>
    <rPh sb="1" eb="3">
      <t>メイハン</t>
    </rPh>
    <rPh sb="3" eb="6">
      <t>ジドウシャ</t>
    </rPh>
    <rPh sb="6" eb="7">
      <t>ミチ</t>
    </rPh>
    <rPh sb="8" eb="10">
      <t>カメヤマ</t>
    </rPh>
    <rPh sb="11" eb="12">
      <t>カニ</t>
    </rPh>
    <rPh sb="12" eb="13">
      <t>エ</t>
    </rPh>
    <rPh sb="14" eb="16">
      <t>カイツウ</t>
    </rPh>
    <phoneticPr fontId="2"/>
  </si>
  <si>
    <t>東名阪自動車道</t>
    <phoneticPr fontId="2"/>
  </si>
  <si>
    <t>『鈴鹿関町史』下巻年表
『関町五十周年記念誌』
『亀山のあゆみ』P.227・年表</t>
    <rPh sb="1" eb="3">
      <t>スズカ</t>
    </rPh>
    <rPh sb="3" eb="4">
      <t>セキ</t>
    </rPh>
    <rPh sb="4" eb="6">
      <t>チョウシ</t>
    </rPh>
    <rPh sb="7" eb="9">
      <t>ゲカン</t>
    </rPh>
    <rPh sb="9" eb="10">
      <t>ネン</t>
    </rPh>
    <rPh sb="10" eb="11">
      <t>ヒョウ</t>
    </rPh>
    <rPh sb="25" eb="27">
      <t>カメヤマ</t>
    </rPh>
    <rPh sb="38" eb="40">
      <t>ネ</t>
    </rPh>
    <phoneticPr fontId="2"/>
  </si>
  <si>
    <t>関町老人憩の家開館</t>
    <rPh sb="0" eb="2">
      <t>セキチョウ</t>
    </rPh>
    <rPh sb="2" eb="4">
      <t>ロウジン</t>
    </rPh>
    <rPh sb="4" eb="5">
      <t>イコイ</t>
    </rPh>
    <rPh sb="6" eb="7">
      <t>イエ</t>
    </rPh>
    <rPh sb="7" eb="9">
      <t>カイカン</t>
    </rPh>
    <phoneticPr fontId="2"/>
  </si>
  <si>
    <t>関町老人憩の家</t>
    <phoneticPr fontId="2"/>
  </si>
  <si>
    <t>坂下地区生活改善センター完成</t>
    <rPh sb="0" eb="2">
      <t>サカシタ</t>
    </rPh>
    <rPh sb="2" eb="4">
      <t>チク</t>
    </rPh>
    <rPh sb="4" eb="6">
      <t>セイカツ</t>
    </rPh>
    <rPh sb="6" eb="8">
      <t>カイゼン</t>
    </rPh>
    <rPh sb="12" eb="14">
      <t>カンセイ</t>
    </rPh>
    <phoneticPr fontId="2"/>
  </si>
  <si>
    <t>坂下地区生活改善センター</t>
    <phoneticPr fontId="2"/>
  </si>
  <si>
    <t>昭和51</t>
    <rPh sb="0" eb="2">
      <t>ショウワ</t>
    </rPh>
    <phoneticPr fontId="2"/>
  </si>
  <si>
    <t>亀山市営火葬場の業務を民間に委託</t>
    <rPh sb="0" eb="2">
      <t>カメヤマ</t>
    </rPh>
    <rPh sb="2" eb="4">
      <t>シエイ</t>
    </rPh>
    <rPh sb="4" eb="6">
      <t>カソウ</t>
    </rPh>
    <rPh sb="6" eb="7">
      <t>バ</t>
    </rPh>
    <rPh sb="8" eb="10">
      <t>ギョウム</t>
    </rPh>
    <rPh sb="11" eb="13">
      <t>ミンカン</t>
    </rPh>
    <rPh sb="14" eb="16">
      <t>イタク</t>
    </rPh>
    <phoneticPr fontId="2"/>
  </si>
  <si>
    <t>亀山市営ゴミ焼却場の公害防止装置完成</t>
    <rPh sb="0" eb="3">
      <t>カメヤマシ</t>
    </rPh>
    <rPh sb="3" eb="4">
      <t>エイ</t>
    </rPh>
    <rPh sb="6" eb="8">
      <t>ショウキャク</t>
    </rPh>
    <rPh sb="8" eb="9">
      <t>バ</t>
    </rPh>
    <rPh sb="10" eb="12">
      <t>コウガイ</t>
    </rPh>
    <rPh sb="12" eb="14">
      <t>ボウシ</t>
    </rPh>
    <rPh sb="14" eb="16">
      <t>ソウチ</t>
    </rPh>
    <rPh sb="16" eb="18">
      <t>カンセイ</t>
    </rPh>
    <phoneticPr fontId="2"/>
  </si>
  <si>
    <t>亀山市営ゴミ焼却場</t>
    <phoneticPr fontId="2"/>
  </si>
  <si>
    <t>日本の歴史の中の亀山／現代の亀山／行政と政治／ごみ処理場</t>
  </si>
  <si>
    <t>関西本線名古屋～亀山間の電化工事が認可される</t>
    <rPh sb="0" eb="2">
      <t>カンサイ</t>
    </rPh>
    <rPh sb="2" eb="4">
      <t>ホンセン</t>
    </rPh>
    <rPh sb="4" eb="7">
      <t>ナゴヤ</t>
    </rPh>
    <rPh sb="8" eb="10">
      <t>カメヤマ</t>
    </rPh>
    <rPh sb="10" eb="11">
      <t>アイダ</t>
    </rPh>
    <rPh sb="12" eb="14">
      <t>デンカ</t>
    </rPh>
    <rPh sb="14" eb="16">
      <t>コウジ</t>
    </rPh>
    <rPh sb="17" eb="19">
      <t>ニンカ</t>
    </rPh>
    <phoneticPr fontId="2"/>
  </si>
  <si>
    <t>日本の歴史の中の亀山／現代の亀山／交通と通信／鉄道／関西線の複線電化への運動</t>
    <rPh sb="23" eb="25">
      <t>テツドウ</t>
    </rPh>
    <rPh sb="26" eb="29">
      <t>カンサイセン</t>
    </rPh>
    <rPh sb="30" eb="32">
      <t>フクセン</t>
    </rPh>
    <rPh sb="32" eb="34">
      <t>デンカ</t>
    </rPh>
    <rPh sb="36" eb="38">
      <t>ウンドウ</t>
    </rPh>
    <phoneticPr fontId="2"/>
  </si>
  <si>
    <t>http://kameyamarekihaku.jp/kodomo/w_e_b/rekishi/gendai/koutsu/tetsudo/page001.html</t>
  </si>
  <si>
    <t>台風１７号来襲</t>
    <rPh sb="0" eb="2">
      <t>タイフウ</t>
    </rPh>
    <rPh sb="4" eb="5">
      <t>ゴウ</t>
    </rPh>
    <rPh sb="5" eb="7">
      <t>ライシュウ</t>
    </rPh>
    <phoneticPr fontId="2"/>
  </si>
  <si>
    <t>井野碩哉が旧亀山市名誉市民第２号となる</t>
    <rPh sb="0" eb="1">
      <t>イ</t>
    </rPh>
    <rPh sb="1" eb="2">
      <t>ノ</t>
    </rPh>
    <rPh sb="3" eb="4">
      <t>ヤ</t>
    </rPh>
    <rPh sb="5" eb="6">
      <t>キュウ</t>
    </rPh>
    <rPh sb="6" eb="9">
      <t>カメヤマシ</t>
    </rPh>
    <rPh sb="9" eb="11">
      <t>メイヨ</t>
    </rPh>
    <rPh sb="11" eb="13">
      <t>シミン</t>
    </rPh>
    <rPh sb="13" eb="14">
      <t>ダイ</t>
    </rPh>
    <rPh sb="15" eb="16">
      <t>ゴウ</t>
    </rPh>
    <phoneticPr fontId="2"/>
  </si>
  <si>
    <t>井野碩哉</t>
  </si>
  <si>
    <t>亀山市の名誉市民／旧亀山市の名誉市民</t>
    <phoneticPr fontId="2"/>
  </si>
  <si>
    <t>『亀山のあゆみ』P.161・年表</t>
    <phoneticPr fontId="2"/>
  </si>
  <si>
    <t>衣笠貞之助が旧亀山市名誉市民第３号となる</t>
    <rPh sb="0" eb="2">
      <t>キヌガサ</t>
    </rPh>
    <rPh sb="2" eb="5">
      <t>テイノスケ</t>
    </rPh>
    <rPh sb="6" eb="7">
      <t>キュウ</t>
    </rPh>
    <rPh sb="7" eb="10">
      <t>カメヤマシ</t>
    </rPh>
    <rPh sb="10" eb="12">
      <t>メイヨ</t>
    </rPh>
    <rPh sb="12" eb="14">
      <t>シミン</t>
    </rPh>
    <rPh sb="14" eb="15">
      <t>ダイ</t>
    </rPh>
    <rPh sb="16" eb="17">
      <t>ゴウ</t>
    </rPh>
    <phoneticPr fontId="2"/>
  </si>
  <si>
    <t>『亀山のあゆみ』P.162・年表
図録：第25回企画展「衣笠貞之助-映画に魅せられた生涯」</t>
    <rPh sb="17" eb="19">
      <t>ズロク</t>
    </rPh>
    <rPh sb="20" eb="21">
      <t>ダイ</t>
    </rPh>
    <rPh sb="23" eb="24">
      <t>カイ</t>
    </rPh>
    <rPh sb="24" eb="27">
      <t>キカクテン</t>
    </rPh>
    <rPh sb="28" eb="30">
      <t>キヌガサ</t>
    </rPh>
    <rPh sb="30" eb="33">
      <t>テイノスケ</t>
    </rPh>
    <rPh sb="34" eb="36">
      <t>エイガ</t>
    </rPh>
    <rPh sb="37" eb="38">
      <t>ミ</t>
    </rPh>
    <rPh sb="42" eb="44">
      <t>ショウガイ</t>
    </rPh>
    <phoneticPr fontId="2"/>
  </si>
  <si>
    <t>関町衛生センターし尿処理場完成</t>
    <rPh sb="0" eb="2">
      <t>セキチョウ</t>
    </rPh>
    <rPh sb="2" eb="4">
      <t>エイセイ</t>
    </rPh>
    <rPh sb="9" eb="10">
      <t>ニョウ</t>
    </rPh>
    <rPh sb="10" eb="12">
      <t>ショリ</t>
    </rPh>
    <rPh sb="12" eb="13">
      <t>バ</t>
    </rPh>
    <rPh sb="13" eb="15">
      <t>カンセイ</t>
    </rPh>
    <phoneticPr fontId="2"/>
  </si>
  <si>
    <t>関町衛生センターし尿処理場</t>
    <phoneticPr fontId="2"/>
  </si>
  <si>
    <t>加太警察官駐在所新築</t>
    <rPh sb="0" eb="2">
      <t>カブト</t>
    </rPh>
    <rPh sb="2" eb="5">
      <t>ケイサツカン</t>
    </rPh>
    <rPh sb="5" eb="8">
      <t>チュウザイショ</t>
    </rPh>
    <rPh sb="8" eb="10">
      <t>シンチク</t>
    </rPh>
    <phoneticPr fontId="2"/>
  </si>
  <si>
    <t>加太警察官駐在所</t>
    <phoneticPr fontId="2"/>
  </si>
  <si>
    <t>津地方法務局関出張所廃所</t>
    <rPh sb="0" eb="1">
      <t>ツ</t>
    </rPh>
    <rPh sb="1" eb="3">
      <t>チホウ</t>
    </rPh>
    <rPh sb="3" eb="6">
      <t>ホウムキョク</t>
    </rPh>
    <rPh sb="6" eb="7">
      <t>セキ</t>
    </rPh>
    <rPh sb="7" eb="9">
      <t>シュッチョウ</t>
    </rPh>
    <rPh sb="9" eb="10">
      <t>ショ</t>
    </rPh>
    <rPh sb="10" eb="11">
      <t>ハイ</t>
    </rPh>
    <rPh sb="11" eb="12">
      <t>ショ</t>
    </rPh>
    <phoneticPr fontId="2"/>
  </si>
  <si>
    <t>泉ヶ丘三ツ池の改修工事完了</t>
    <rPh sb="0" eb="1">
      <t>イズミ</t>
    </rPh>
    <rPh sb="2" eb="3">
      <t>オカ</t>
    </rPh>
    <rPh sb="3" eb="4">
      <t>サン</t>
    </rPh>
    <rPh sb="5" eb="6">
      <t>イケ</t>
    </rPh>
    <rPh sb="7" eb="9">
      <t>カイシュウ</t>
    </rPh>
    <rPh sb="9" eb="11">
      <t>コウジ</t>
    </rPh>
    <rPh sb="11" eb="13">
      <t>カンリョウ</t>
    </rPh>
    <phoneticPr fontId="2"/>
  </si>
  <si>
    <t>泉ヶ丘三ツ池</t>
    <phoneticPr fontId="2"/>
  </si>
  <si>
    <t>加太地区簡易水道給水開始</t>
    <rPh sb="0" eb="2">
      <t>カブト</t>
    </rPh>
    <rPh sb="2" eb="4">
      <t>チク</t>
    </rPh>
    <rPh sb="4" eb="6">
      <t>カンイ</t>
    </rPh>
    <rPh sb="6" eb="8">
      <t>スイドウ</t>
    </rPh>
    <rPh sb="8" eb="10">
      <t>キュウスイ</t>
    </rPh>
    <rPh sb="10" eb="12">
      <t>カイシ</t>
    </rPh>
    <phoneticPr fontId="2"/>
  </si>
  <si>
    <t>昭和52</t>
  </si>
  <si>
    <t>領海12海里・漁業水域200海里を正式に宣言する</t>
    <phoneticPr fontId="2"/>
  </si>
  <si>
    <t>石井兄弟亀山敵討遺跡復元
都市計画道路工事のため一時解体以前の場所の約３０ｍ北へ移設したもの</t>
    <rPh sb="0" eb="2">
      <t>イシイ</t>
    </rPh>
    <rPh sb="2" eb="4">
      <t>キョウダイ</t>
    </rPh>
    <rPh sb="4" eb="6">
      <t>カメヤマ</t>
    </rPh>
    <rPh sb="6" eb="8">
      <t>カタキウチ</t>
    </rPh>
    <rPh sb="8" eb="10">
      <t>イセキ</t>
    </rPh>
    <rPh sb="10" eb="12">
      <t>フクゲン</t>
    </rPh>
    <rPh sb="13" eb="15">
      <t>トシ</t>
    </rPh>
    <rPh sb="15" eb="17">
      <t>ケイカク</t>
    </rPh>
    <rPh sb="17" eb="19">
      <t>ドウロ</t>
    </rPh>
    <rPh sb="19" eb="21">
      <t>コウジ</t>
    </rPh>
    <rPh sb="24" eb="26">
      <t>イチジ</t>
    </rPh>
    <rPh sb="26" eb="28">
      <t>カイタイ</t>
    </rPh>
    <rPh sb="28" eb="30">
      <t>イゼン</t>
    </rPh>
    <rPh sb="31" eb="33">
      <t>バショ</t>
    </rPh>
    <rPh sb="34" eb="35">
      <t>ヤク</t>
    </rPh>
    <rPh sb="38" eb="39">
      <t>キタ</t>
    </rPh>
    <rPh sb="40" eb="42">
      <t>イセツ</t>
    </rPh>
    <phoneticPr fontId="2"/>
  </si>
  <si>
    <t>石井兄弟亀山敵討遺跡</t>
    <phoneticPr fontId="2"/>
  </si>
  <si>
    <t>亀山のむかしばなし／亀山にまつわるひとびとの話／石井兄弟のかたきうち</t>
  </si>
  <si>
    <t>『亀山のあゆみ』年表
『亀山市史』考古分野</t>
    <rPh sb="12" eb="15">
      <t>カメヤマシ</t>
    </rPh>
    <rPh sb="15" eb="16">
      <t>シ</t>
    </rPh>
    <rPh sb="17" eb="19">
      <t>コウコ</t>
    </rPh>
    <rPh sb="19" eb="21">
      <t>ブンヤ</t>
    </rPh>
    <phoneticPr fontId="2"/>
  </si>
  <si>
    <t>みどり町に集会所「みどり町会館」完成</t>
    <rPh sb="3" eb="4">
      <t>マチ</t>
    </rPh>
    <rPh sb="5" eb="7">
      <t>シュウカイ</t>
    </rPh>
    <rPh sb="7" eb="8">
      <t>ジョ</t>
    </rPh>
    <rPh sb="12" eb="13">
      <t>マチ</t>
    </rPh>
    <rPh sb="13" eb="15">
      <t>カイカン</t>
    </rPh>
    <rPh sb="16" eb="18">
      <t>カンセイ</t>
    </rPh>
    <phoneticPr fontId="2"/>
  </si>
  <si>
    <t>みどり町会館</t>
  </si>
  <si>
    <t>辺法寺地内の野登橋が完成</t>
    <rPh sb="0" eb="3">
      <t>ヘンボウジ</t>
    </rPh>
    <rPh sb="3" eb="4">
      <t>チ</t>
    </rPh>
    <rPh sb="4" eb="5">
      <t>ナイ</t>
    </rPh>
    <rPh sb="6" eb="8">
      <t>ノノボリ</t>
    </rPh>
    <rPh sb="8" eb="9">
      <t>ハシ</t>
    </rPh>
    <rPh sb="10" eb="12">
      <t>カンセイ</t>
    </rPh>
    <phoneticPr fontId="2"/>
  </si>
  <si>
    <t>野登橋</t>
    <phoneticPr fontId="2"/>
  </si>
  <si>
    <t>衣笠貞之助監督を迎え、市民会館で無料特別映画会を開催、監督の代表作『十字路』『地獄門』を上映</t>
    <rPh sb="0" eb="2">
      <t>キヌガサ</t>
    </rPh>
    <rPh sb="2" eb="3">
      <t>サダ</t>
    </rPh>
    <rPh sb="3" eb="4">
      <t>ノ</t>
    </rPh>
    <rPh sb="4" eb="5">
      <t>スケ</t>
    </rPh>
    <rPh sb="5" eb="7">
      <t>カントク</t>
    </rPh>
    <rPh sb="8" eb="9">
      <t>ムカ</t>
    </rPh>
    <rPh sb="11" eb="12">
      <t>シ</t>
    </rPh>
    <rPh sb="13" eb="15">
      <t>カイカン</t>
    </rPh>
    <rPh sb="16" eb="18">
      <t>ムリョウ</t>
    </rPh>
    <rPh sb="18" eb="20">
      <t>トクベツ</t>
    </rPh>
    <rPh sb="20" eb="22">
      <t>エイガ</t>
    </rPh>
    <rPh sb="22" eb="23">
      <t>カイ</t>
    </rPh>
    <rPh sb="24" eb="26">
      <t>カイサイ</t>
    </rPh>
    <rPh sb="27" eb="29">
      <t>カントク</t>
    </rPh>
    <rPh sb="30" eb="33">
      <t>ダイヒョウサク</t>
    </rPh>
    <rPh sb="34" eb="37">
      <t>ジュウジロ</t>
    </rPh>
    <rPh sb="39" eb="42">
      <t>ジゴクモン</t>
    </rPh>
    <rPh sb="44" eb="46">
      <t>ジョウエイ</t>
    </rPh>
    <phoneticPr fontId="2"/>
  </si>
  <si>
    <t>衣笠貞之助</t>
    <phoneticPr fontId="2"/>
  </si>
  <si>
    <t>『亀山のあゆみ』年表
図録：第25回企画展「衣笠貞之助-映画に魅せられた生涯」</t>
    <phoneticPr fontId="2"/>
  </si>
  <si>
    <t>国道３０６号線の安楽橋が完成</t>
    <rPh sb="0" eb="2">
      <t>コクドウ</t>
    </rPh>
    <rPh sb="5" eb="7">
      <t>ゴウセン</t>
    </rPh>
    <rPh sb="8" eb="10">
      <t>アンラク</t>
    </rPh>
    <rPh sb="10" eb="11">
      <t>ハシ</t>
    </rPh>
    <rPh sb="12" eb="14">
      <t>カンセイ</t>
    </rPh>
    <phoneticPr fontId="2"/>
  </si>
  <si>
    <t>川崎町・太森町</t>
    <rPh sb="0" eb="3">
      <t>カワサキチョウ</t>
    </rPh>
    <rPh sb="4" eb="7">
      <t>フトモリチョウ</t>
    </rPh>
    <phoneticPr fontId="2"/>
  </si>
  <si>
    <t>安楽橋</t>
    <phoneticPr fontId="2"/>
  </si>
  <si>
    <t>亀山駅前和田線の池の側橋が完成</t>
    <rPh sb="0" eb="2">
      <t>カメヤマ</t>
    </rPh>
    <rPh sb="2" eb="4">
      <t>エキマエ</t>
    </rPh>
    <rPh sb="4" eb="6">
      <t>ワダ</t>
    </rPh>
    <rPh sb="6" eb="7">
      <t>セン</t>
    </rPh>
    <rPh sb="8" eb="9">
      <t>イケ</t>
    </rPh>
    <rPh sb="10" eb="11">
      <t>ガワ</t>
    </rPh>
    <rPh sb="11" eb="12">
      <t>ハシ</t>
    </rPh>
    <rPh sb="13" eb="15">
      <t>カンセイ</t>
    </rPh>
    <phoneticPr fontId="2"/>
  </si>
  <si>
    <t>竜川改修工事に伴う京口橋の架け替えのため、6月中旬から12月末まで通行止めとなる</t>
    <rPh sb="0" eb="1">
      <t>タツ</t>
    </rPh>
    <rPh sb="1" eb="2">
      <t>カワ</t>
    </rPh>
    <rPh sb="2" eb="4">
      <t>カイシュウ</t>
    </rPh>
    <rPh sb="4" eb="6">
      <t>コウジ</t>
    </rPh>
    <rPh sb="7" eb="8">
      <t>トモナ</t>
    </rPh>
    <rPh sb="9" eb="11">
      <t>キョウグチ</t>
    </rPh>
    <rPh sb="11" eb="12">
      <t>ハシ</t>
    </rPh>
    <rPh sb="13" eb="14">
      <t>カ</t>
    </rPh>
    <rPh sb="15" eb="16">
      <t>カ</t>
    </rPh>
    <rPh sb="22" eb="23">
      <t>ガツ</t>
    </rPh>
    <rPh sb="23" eb="25">
      <t>チュウジュン</t>
    </rPh>
    <rPh sb="29" eb="30">
      <t>ガツ</t>
    </rPh>
    <rPh sb="30" eb="31">
      <t>スエ</t>
    </rPh>
    <rPh sb="33" eb="35">
      <t>ツウコウ</t>
    </rPh>
    <rPh sb="35" eb="36">
      <t>ト</t>
    </rPh>
    <phoneticPr fontId="2"/>
  </si>
  <si>
    <t>京口橋</t>
    <phoneticPr fontId="2"/>
  </si>
  <si>
    <t>『鈴鹿関町史』上巻を発行</t>
    <rPh sb="1" eb="3">
      <t>スズカ</t>
    </rPh>
    <rPh sb="3" eb="5">
      <t>セキチョウ</t>
    </rPh>
    <rPh sb="5" eb="6">
      <t>シ</t>
    </rPh>
    <rPh sb="7" eb="8">
      <t>ウエ</t>
    </rPh>
    <rPh sb="8" eb="9">
      <t>マ</t>
    </rPh>
    <rPh sb="10" eb="12">
      <t>ハッコウ</t>
    </rPh>
    <phoneticPr fontId="2"/>
  </si>
  <si>
    <t>関町営衛生センター塵芥処理場完成</t>
    <rPh sb="0" eb="2">
      <t>セキチョウ</t>
    </rPh>
    <rPh sb="2" eb="3">
      <t>エイ</t>
    </rPh>
    <rPh sb="3" eb="5">
      <t>エイセイ</t>
    </rPh>
    <rPh sb="9" eb="11">
      <t>ジンカイ</t>
    </rPh>
    <rPh sb="11" eb="13">
      <t>ショリ</t>
    </rPh>
    <rPh sb="13" eb="14">
      <t>バ</t>
    </rPh>
    <rPh sb="14" eb="16">
      <t>カンセイ</t>
    </rPh>
    <phoneticPr fontId="2"/>
  </si>
  <si>
    <t>関町営衛生センター塵芥処理場</t>
  </si>
  <si>
    <t>第４回三重県緑化推進県民大会（植樹祭）が観音山公園で挙行</t>
    <rPh sb="0" eb="1">
      <t>ダイ</t>
    </rPh>
    <rPh sb="2" eb="3">
      <t>カイ</t>
    </rPh>
    <rPh sb="3" eb="6">
      <t>ミエケン</t>
    </rPh>
    <rPh sb="6" eb="8">
      <t>リョッカ</t>
    </rPh>
    <rPh sb="8" eb="10">
      <t>スイシン</t>
    </rPh>
    <rPh sb="10" eb="12">
      <t>ケンミン</t>
    </rPh>
    <rPh sb="12" eb="14">
      <t>タイカイ</t>
    </rPh>
    <rPh sb="15" eb="17">
      <t>ショクジュ</t>
    </rPh>
    <rPh sb="17" eb="18">
      <t>サイ</t>
    </rPh>
    <rPh sb="20" eb="22">
      <t>カンノン</t>
    </rPh>
    <rPh sb="22" eb="23">
      <t>ヤマ</t>
    </rPh>
    <rPh sb="23" eb="25">
      <t>コウエン</t>
    </rPh>
    <rPh sb="26" eb="28">
      <t>キョコウ</t>
    </rPh>
    <phoneticPr fontId="2"/>
  </si>
  <si>
    <t>関郵便局前に太陽電池時計を設置</t>
    <rPh sb="0" eb="1">
      <t>セキ</t>
    </rPh>
    <rPh sb="1" eb="4">
      <t>ユウビンキョク</t>
    </rPh>
    <rPh sb="4" eb="5">
      <t>マエ</t>
    </rPh>
    <rPh sb="6" eb="8">
      <t>タイヨウ</t>
    </rPh>
    <rPh sb="8" eb="10">
      <t>デンチ</t>
    </rPh>
    <rPh sb="10" eb="12">
      <t>トケイ</t>
    </rPh>
    <rPh sb="13" eb="15">
      <t>セッチ</t>
    </rPh>
    <phoneticPr fontId="2"/>
  </si>
  <si>
    <t>正法寺山荘跡第一次発掘調査を実施（第二次は昭和５３年）</t>
    <rPh sb="0" eb="1">
      <t>マサ</t>
    </rPh>
    <rPh sb="1" eb="2">
      <t>ホウ</t>
    </rPh>
    <rPh sb="2" eb="3">
      <t>テラ</t>
    </rPh>
    <rPh sb="3" eb="5">
      <t>サンソウ</t>
    </rPh>
    <rPh sb="5" eb="6">
      <t>アト</t>
    </rPh>
    <rPh sb="6" eb="8">
      <t>ダイイチ</t>
    </rPh>
    <rPh sb="8" eb="9">
      <t>ジ</t>
    </rPh>
    <rPh sb="9" eb="11">
      <t>ハックツ</t>
    </rPh>
    <rPh sb="11" eb="13">
      <t>チョウサ</t>
    </rPh>
    <rPh sb="14" eb="16">
      <t>ジッシ</t>
    </rPh>
    <rPh sb="17" eb="18">
      <t>ダイ</t>
    </rPh>
    <rPh sb="18" eb="20">
      <t>ニジ</t>
    </rPh>
    <rPh sb="21" eb="23">
      <t>ショウワ</t>
    </rPh>
    <rPh sb="25" eb="26">
      <t>ネン</t>
    </rPh>
    <phoneticPr fontId="2"/>
  </si>
  <si>
    <t>日本の歴史の中の亀山／中世の亀山／東アジアとのかかわり／室町時代の文化と亀山／正法寺山荘と人々の交流</t>
    <phoneticPr fontId="2"/>
  </si>
  <si>
    <t>『鈴鹿関町史』下巻年表
『正法寺山荘跡発掘調査報告』
『亀山市史』考古分野</t>
    <rPh sb="1" eb="3">
      <t>スズカ</t>
    </rPh>
    <rPh sb="3" eb="4">
      <t>セキ</t>
    </rPh>
    <rPh sb="4" eb="6">
      <t>チョウシ</t>
    </rPh>
    <rPh sb="7" eb="9">
      <t>ゲカン</t>
    </rPh>
    <rPh sb="9" eb="10">
      <t>ネン</t>
    </rPh>
    <rPh sb="10" eb="11">
      <t>ヒョウ</t>
    </rPh>
    <rPh sb="19" eb="21">
      <t>ハックツ</t>
    </rPh>
    <rPh sb="21" eb="23">
      <t>チョウサ</t>
    </rPh>
    <rPh sb="23" eb="25">
      <t>ホウコク</t>
    </rPh>
    <rPh sb="27" eb="37">
      <t>カ</t>
    </rPh>
    <phoneticPr fontId="2"/>
  </si>
  <si>
    <t>亀山のいいとこさがし／景色のよいところや歴史を知る手掛かりとなるもの／歴史上の場所／正法寺山荘跡</t>
    <rPh sb="11" eb="13">
      <t>ケシキ</t>
    </rPh>
    <rPh sb="20" eb="22">
      <t>レキシ</t>
    </rPh>
    <rPh sb="23" eb="24">
      <t>シ</t>
    </rPh>
    <rPh sb="25" eb="27">
      <t>テガ</t>
    </rPh>
    <rPh sb="35" eb="37">
      <t>レキシ</t>
    </rPh>
    <rPh sb="37" eb="38">
      <t>ジョウ</t>
    </rPh>
    <rPh sb="39" eb="41">
      <t>バショ</t>
    </rPh>
    <rPh sb="42" eb="45">
      <t>ショウホウジ</t>
    </rPh>
    <rPh sb="45" eb="47">
      <t>サンソウ</t>
    </rPh>
    <rPh sb="47" eb="48">
      <t>アト</t>
    </rPh>
    <phoneticPr fontId="2"/>
  </si>
  <si>
    <t>９月２１日、加太電話交換局開設、加太地区自動電話となる、同日坂下地区も自動電話となる</t>
    <rPh sb="1" eb="2">
      <t>ガツ</t>
    </rPh>
    <rPh sb="4" eb="5">
      <t>ニチ</t>
    </rPh>
    <rPh sb="6" eb="8">
      <t>カブト</t>
    </rPh>
    <rPh sb="8" eb="10">
      <t>デンワ</t>
    </rPh>
    <rPh sb="10" eb="12">
      <t>コウカン</t>
    </rPh>
    <rPh sb="12" eb="13">
      <t>キョク</t>
    </rPh>
    <rPh sb="13" eb="15">
      <t>カイセツ</t>
    </rPh>
    <rPh sb="16" eb="18">
      <t>カブト</t>
    </rPh>
    <rPh sb="18" eb="20">
      <t>チク</t>
    </rPh>
    <rPh sb="20" eb="22">
      <t>ジドウ</t>
    </rPh>
    <rPh sb="22" eb="24">
      <t>デンワ</t>
    </rPh>
    <rPh sb="28" eb="30">
      <t>ドウジツ</t>
    </rPh>
    <rPh sb="30" eb="32">
      <t>サカシタ</t>
    </rPh>
    <rPh sb="32" eb="34">
      <t>チク</t>
    </rPh>
    <rPh sb="35" eb="37">
      <t>ジドウ</t>
    </rPh>
    <rPh sb="37" eb="39">
      <t>デンワ</t>
    </rPh>
    <phoneticPr fontId="2"/>
  </si>
  <si>
    <t>加太電話交換局</t>
    <phoneticPr fontId="2"/>
  </si>
  <si>
    <r>
      <t>昭和5</t>
    </r>
    <r>
      <rPr>
        <sz val="11"/>
        <rFont val="ＭＳ Ｐゴシック"/>
        <family val="3"/>
        <charset val="128"/>
      </rPr>
      <t>2</t>
    </r>
    <phoneticPr fontId="2"/>
  </si>
  <si>
    <t>関町みどりの少年隊結成</t>
    <rPh sb="0" eb="1">
      <t>セキ</t>
    </rPh>
    <rPh sb="1" eb="2">
      <t>マチ</t>
    </rPh>
    <rPh sb="6" eb="8">
      <t>ショウネン</t>
    </rPh>
    <rPh sb="8" eb="9">
      <t>タイ</t>
    </rPh>
    <rPh sb="9" eb="11">
      <t>ケッセイ</t>
    </rPh>
    <phoneticPr fontId="2"/>
  </si>
  <si>
    <t>昭和53</t>
  </si>
  <si>
    <t>日中平和友好条約を結ぶ</t>
  </si>
  <si>
    <t>亀山本町商業協同組合結成</t>
    <rPh sb="0" eb="2">
      <t>カメヤマ</t>
    </rPh>
    <rPh sb="2" eb="4">
      <t>ホンマチ</t>
    </rPh>
    <rPh sb="4" eb="6">
      <t>ショウギョウ</t>
    </rPh>
    <rPh sb="6" eb="8">
      <t>キョウドウ</t>
    </rPh>
    <rPh sb="8" eb="10">
      <t>クミアイ</t>
    </rPh>
    <rPh sb="10" eb="12">
      <t>ケッセイ</t>
    </rPh>
    <phoneticPr fontId="2"/>
  </si>
  <si>
    <t>中部中学校跡に川崎南保育園開園</t>
    <rPh sb="0" eb="2">
      <t>チュウブ</t>
    </rPh>
    <rPh sb="2" eb="3">
      <t>ナカ</t>
    </rPh>
    <rPh sb="3" eb="5">
      <t>ガッコウ</t>
    </rPh>
    <rPh sb="5" eb="6">
      <t>アト</t>
    </rPh>
    <rPh sb="7" eb="9">
      <t>カワサキ</t>
    </rPh>
    <rPh sb="9" eb="10">
      <t>ミナミ</t>
    </rPh>
    <rPh sb="10" eb="13">
      <t>ホイクエン</t>
    </rPh>
    <rPh sb="13" eb="15">
      <t>カイエン</t>
    </rPh>
    <phoneticPr fontId="2"/>
  </si>
  <si>
    <t>長明寺町</t>
    <rPh sb="0" eb="1">
      <t>チョウ</t>
    </rPh>
    <rPh sb="1" eb="2">
      <t>アカ</t>
    </rPh>
    <rPh sb="2" eb="3">
      <t>テラ</t>
    </rPh>
    <rPh sb="3" eb="4">
      <t>チョウ</t>
    </rPh>
    <phoneticPr fontId="2"/>
  </si>
  <si>
    <t>川崎南保育園</t>
    <phoneticPr fontId="2"/>
  </si>
  <si>
    <t>『亀山のあゆみ』P.365・年表</t>
    <phoneticPr fontId="2"/>
  </si>
  <si>
    <t>住山団地集会所完成</t>
    <rPh sb="0" eb="1">
      <t>ス</t>
    </rPh>
    <rPh sb="1" eb="2">
      <t>ヤマ</t>
    </rPh>
    <rPh sb="2" eb="4">
      <t>ダンチ</t>
    </rPh>
    <rPh sb="4" eb="6">
      <t>シュウカイ</t>
    </rPh>
    <rPh sb="6" eb="7">
      <t>ショ</t>
    </rPh>
    <rPh sb="7" eb="9">
      <t>カンセイ</t>
    </rPh>
    <phoneticPr fontId="2"/>
  </si>
  <si>
    <t>住山団地集会所</t>
    <phoneticPr fontId="2"/>
  </si>
  <si>
    <t>池山生活改善センター完成</t>
    <rPh sb="0" eb="2">
      <t>イケヤマ</t>
    </rPh>
    <rPh sb="2" eb="4">
      <t>セイカツ</t>
    </rPh>
    <rPh sb="4" eb="6">
      <t>カイゼン</t>
    </rPh>
    <rPh sb="10" eb="12">
      <t>カンセイ</t>
    </rPh>
    <phoneticPr fontId="2"/>
  </si>
  <si>
    <t>安坂山町</t>
    <rPh sb="3" eb="4">
      <t>チョウ</t>
    </rPh>
    <phoneticPr fontId="2"/>
  </si>
  <si>
    <t>池山生活改善センター</t>
    <phoneticPr fontId="2"/>
  </si>
  <si>
    <t>野登小学校安坂山分校が廃校となる（分校の前身は明治８年創設の安坂山学校）</t>
    <rPh sb="0" eb="2">
      <t>ノノボリ</t>
    </rPh>
    <rPh sb="2" eb="5">
      <t>ショウガッコウ</t>
    </rPh>
    <rPh sb="5" eb="6">
      <t>ヤス</t>
    </rPh>
    <rPh sb="6" eb="7">
      <t>サカ</t>
    </rPh>
    <rPh sb="7" eb="8">
      <t>ヤマ</t>
    </rPh>
    <rPh sb="8" eb="10">
      <t>ブンコウ</t>
    </rPh>
    <rPh sb="11" eb="13">
      <t>ハイコウ</t>
    </rPh>
    <rPh sb="17" eb="19">
      <t>ブンコウ</t>
    </rPh>
    <rPh sb="20" eb="22">
      <t>ゼンシン</t>
    </rPh>
    <rPh sb="23" eb="25">
      <t>メイジ</t>
    </rPh>
    <rPh sb="26" eb="27">
      <t>ネン</t>
    </rPh>
    <rPh sb="27" eb="29">
      <t>ソウセツ</t>
    </rPh>
    <rPh sb="30" eb="31">
      <t>ヤス</t>
    </rPh>
    <rPh sb="31" eb="32">
      <t>サカ</t>
    </rPh>
    <rPh sb="32" eb="33">
      <t>ヤマ</t>
    </rPh>
    <rPh sb="33" eb="35">
      <t>ガッコウ</t>
    </rPh>
    <phoneticPr fontId="2"/>
  </si>
  <si>
    <t>野登小学校安坂山分校</t>
    <phoneticPr fontId="2"/>
  </si>
  <si>
    <t>学校のあゆみ／野登小学校のれきし</t>
    <phoneticPr fontId="2"/>
  </si>
  <si>
    <t>『亀山のあゆみ』P.396・年表</t>
    <phoneticPr fontId="2"/>
  </si>
  <si>
    <t>野村町松本に青少年研修センター完成</t>
    <rPh sb="0" eb="2">
      <t>ノムラ</t>
    </rPh>
    <rPh sb="2" eb="3">
      <t>マチ</t>
    </rPh>
    <rPh sb="3" eb="5">
      <t>マツモト</t>
    </rPh>
    <rPh sb="6" eb="9">
      <t>セイショウネン</t>
    </rPh>
    <rPh sb="9" eb="11">
      <t>ケンシュウ</t>
    </rPh>
    <rPh sb="15" eb="17">
      <t>カンセイ</t>
    </rPh>
    <phoneticPr fontId="2"/>
  </si>
  <si>
    <t>若山町</t>
    <rPh sb="0" eb="3">
      <t>ワカヤマチョウ</t>
    </rPh>
    <phoneticPr fontId="2"/>
  </si>
  <si>
    <t>青少年研修センター</t>
    <phoneticPr fontId="2"/>
  </si>
  <si>
    <t>『亀山のあゆみ』P.428・年表</t>
    <rPh sb="14" eb="16">
      <t>ネンピョウ</t>
    </rPh>
    <phoneticPr fontId="2"/>
  </si>
  <si>
    <t>市は各地区の連絡所を廃止し、地区コミュニティー活動の場として活用</t>
    <rPh sb="2" eb="5">
      <t>カクチク</t>
    </rPh>
    <rPh sb="6" eb="8">
      <t>レンラク</t>
    </rPh>
    <rPh sb="8" eb="9">
      <t>トコロ</t>
    </rPh>
    <rPh sb="10" eb="12">
      <t>ハイシ</t>
    </rPh>
    <rPh sb="14" eb="16">
      <t>チク</t>
    </rPh>
    <rPh sb="23" eb="25">
      <t>カツドウ</t>
    </rPh>
    <rPh sb="26" eb="27">
      <t>バ</t>
    </rPh>
    <rPh sb="30" eb="32">
      <t>カツヨウ</t>
    </rPh>
    <phoneticPr fontId="2"/>
  </si>
  <si>
    <t>『亀山のあゆみ』P381・年表</t>
    <phoneticPr fontId="2"/>
  </si>
  <si>
    <t>亀山市内にコレラ患者が出る</t>
    <rPh sb="0" eb="2">
      <t>カメヤマ</t>
    </rPh>
    <rPh sb="2" eb="4">
      <t>シナイ</t>
    </rPh>
    <rPh sb="8" eb="10">
      <t>カンジャ</t>
    </rPh>
    <rPh sb="11" eb="12">
      <t>デ</t>
    </rPh>
    <phoneticPr fontId="2"/>
  </si>
  <si>
    <t>「暴力追放宣言の町」決議</t>
    <rPh sb="1" eb="3">
      <t>ボウリョク</t>
    </rPh>
    <rPh sb="3" eb="5">
      <t>ツイホウ</t>
    </rPh>
    <rPh sb="5" eb="7">
      <t>センゲン</t>
    </rPh>
    <rPh sb="8" eb="9">
      <t>マチ</t>
    </rPh>
    <rPh sb="10" eb="12">
      <t>ケツギ</t>
    </rPh>
    <phoneticPr fontId="2"/>
  </si>
  <si>
    <t>関町青少年補導センター開設</t>
    <rPh sb="0" eb="2">
      <t>セキチョウ</t>
    </rPh>
    <rPh sb="2" eb="5">
      <t>セイショウネン</t>
    </rPh>
    <rPh sb="5" eb="7">
      <t>ホドウ</t>
    </rPh>
    <rPh sb="11" eb="13">
      <t>カイセツ</t>
    </rPh>
    <phoneticPr fontId="2"/>
  </si>
  <si>
    <t>第一回関町植樹祭挙行</t>
    <rPh sb="0" eb="1">
      <t>ダイ</t>
    </rPh>
    <rPh sb="1" eb="3">
      <t>イッカイ</t>
    </rPh>
    <rPh sb="3" eb="5">
      <t>セキチョウ</t>
    </rPh>
    <rPh sb="5" eb="7">
      <t>ショクジュ</t>
    </rPh>
    <rPh sb="7" eb="8">
      <t>サイ</t>
    </rPh>
    <rPh sb="8" eb="10">
      <t>キョコウ</t>
    </rPh>
    <phoneticPr fontId="2"/>
  </si>
  <si>
    <t>観音山公園にフィールドアスレチック施設できる</t>
    <rPh sb="0" eb="5">
      <t>カンノンヤマコウエン</t>
    </rPh>
    <rPh sb="17" eb="19">
      <t>シセツ</t>
    </rPh>
    <phoneticPr fontId="2"/>
  </si>
  <si>
    <t>関町消防団大八分団（沓掛）が昭和５３年度三重県消防操法大会において小型ポンプの部で優勝</t>
    <rPh sb="0" eb="1">
      <t>セキ</t>
    </rPh>
    <rPh sb="1" eb="2">
      <t>マチ</t>
    </rPh>
    <rPh sb="2" eb="5">
      <t>ショウボウダン</t>
    </rPh>
    <rPh sb="5" eb="7">
      <t>ダイハチ</t>
    </rPh>
    <rPh sb="7" eb="9">
      <t>ブンダン</t>
    </rPh>
    <rPh sb="10" eb="12">
      <t>クツカケ</t>
    </rPh>
    <rPh sb="14" eb="16">
      <t>ショウワ</t>
    </rPh>
    <rPh sb="18" eb="20">
      <t>ネンド</t>
    </rPh>
    <rPh sb="20" eb="23">
      <t>ミエケン</t>
    </rPh>
    <rPh sb="23" eb="25">
      <t>ショウボウ</t>
    </rPh>
    <rPh sb="25" eb="26">
      <t>アヤツ</t>
    </rPh>
    <rPh sb="26" eb="27">
      <t>ホウ</t>
    </rPh>
    <rPh sb="27" eb="29">
      <t>タイカイ</t>
    </rPh>
    <rPh sb="33" eb="35">
      <t>コガタ</t>
    </rPh>
    <rPh sb="39" eb="40">
      <t>ブ</t>
    </rPh>
    <rPh sb="41" eb="43">
      <t>ユウショウ</t>
    </rPh>
    <phoneticPr fontId="2"/>
  </si>
  <si>
    <t>木崎姫御前の住宅団地を曙台と決定</t>
    <rPh sb="0" eb="1">
      <t>キ</t>
    </rPh>
    <rPh sb="1" eb="2">
      <t>サキ</t>
    </rPh>
    <rPh sb="2" eb="3">
      <t>ヒメ</t>
    </rPh>
    <rPh sb="3" eb="5">
      <t>ゴゼン</t>
    </rPh>
    <rPh sb="6" eb="8">
      <t>ジュウタク</t>
    </rPh>
    <rPh sb="8" eb="10">
      <t>ダンチ</t>
    </rPh>
    <rPh sb="11" eb="12">
      <t>アケボノ</t>
    </rPh>
    <rPh sb="12" eb="13">
      <t>ダイ</t>
    </rPh>
    <rPh sb="14" eb="16">
      <t>ケッテイ</t>
    </rPh>
    <phoneticPr fontId="2"/>
  </si>
  <si>
    <t>曙台団地</t>
    <rPh sb="2" eb="4">
      <t>ダンチ</t>
    </rPh>
    <phoneticPr fontId="2"/>
  </si>
  <si>
    <t>関町文化財として１４件を指定</t>
    <rPh sb="0" eb="1">
      <t>セキ</t>
    </rPh>
    <rPh sb="1" eb="2">
      <t>マチ</t>
    </rPh>
    <rPh sb="2" eb="4">
      <t>ブンカ</t>
    </rPh>
    <rPh sb="4" eb="5">
      <t>ザイ</t>
    </rPh>
    <rPh sb="10" eb="11">
      <t>ケン</t>
    </rPh>
    <rPh sb="12" eb="14">
      <t>シテイ</t>
    </rPh>
    <phoneticPr fontId="2"/>
  </si>
  <si>
    <t>昭和54</t>
  </si>
  <si>
    <t>国際人権規約を批准する</t>
  </si>
  <si>
    <t>井田川幼稚園開園</t>
    <rPh sb="0" eb="3">
      <t>イダガワ</t>
    </rPh>
    <rPh sb="3" eb="6">
      <t>ヨウチエン</t>
    </rPh>
    <rPh sb="6" eb="8">
      <t>カイエン</t>
    </rPh>
    <phoneticPr fontId="2"/>
  </si>
  <si>
    <t>井田川幼稚園</t>
  </si>
  <si>
    <t>『亀山のあゆみ』P.393・年表</t>
    <phoneticPr fontId="2"/>
  </si>
  <si>
    <t>亀山市芸術文化協会発足</t>
    <rPh sb="0" eb="3">
      <t>カメヤマシ</t>
    </rPh>
    <rPh sb="3" eb="5">
      <t>ゲイジュツ</t>
    </rPh>
    <rPh sb="5" eb="7">
      <t>ブンカ</t>
    </rPh>
    <rPh sb="7" eb="9">
      <t>キョウカイ</t>
    </rPh>
    <rPh sb="9" eb="11">
      <t>ホッソク</t>
    </rPh>
    <phoneticPr fontId="2"/>
  </si>
  <si>
    <t>広域消防スタート（市の消防範囲に関町入る）</t>
    <rPh sb="0" eb="2">
      <t>コウイキ</t>
    </rPh>
    <rPh sb="2" eb="4">
      <t>ショウボウ</t>
    </rPh>
    <rPh sb="9" eb="10">
      <t>シ</t>
    </rPh>
    <rPh sb="11" eb="13">
      <t>ショウボウ</t>
    </rPh>
    <rPh sb="13" eb="15">
      <t>ハンイ</t>
    </rPh>
    <rPh sb="16" eb="18">
      <t>セキチョウ</t>
    </rPh>
    <rPh sb="18" eb="19">
      <t>ハイ</t>
    </rPh>
    <phoneticPr fontId="2"/>
  </si>
  <si>
    <t>井田川小学校が鈴鹿市との学校組合立を解消、「亀山市立井田川小学校」として開校</t>
    <rPh sb="0" eb="3">
      <t>イダガワ</t>
    </rPh>
    <rPh sb="3" eb="6">
      <t>ショウガッコウ</t>
    </rPh>
    <rPh sb="7" eb="10">
      <t>スズカシ</t>
    </rPh>
    <rPh sb="12" eb="14">
      <t>ガッコウ</t>
    </rPh>
    <rPh sb="14" eb="16">
      <t>クミアイ</t>
    </rPh>
    <rPh sb="16" eb="17">
      <t>リツ</t>
    </rPh>
    <rPh sb="18" eb="20">
      <t>カイショウ</t>
    </rPh>
    <rPh sb="22" eb="24">
      <t>カメヤマ</t>
    </rPh>
    <rPh sb="24" eb="26">
      <t>シリツ</t>
    </rPh>
    <rPh sb="26" eb="29">
      <t>イダガワ</t>
    </rPh>
    <rPh sb="29" eb="32">
      <t>ショウガッコウ</t>
    </rPh>
    <rPh sb="36" eb="38">
      <t>カイコウ</t>
    </rPh>
    <phoneticPr fontId="2"/>
  </si>
  <si>
    <t>亀山市立井田川小学校</t>
    <phoneticPr fontId="2"/>
  </si>
  <si>
    <t>学校のあゆみ／井田川小学校のれきし</t>
    <phoneticPr fontId="2"/>
  </si>
  <si>
    <t>『亀山のあゆみ』P.388・P.397・年表</t>
    <rPh sb="20" eb="22">
      <t>ネンピョウ</t>
    </rPh>
    <phoneticPr fontId="2"/>
  </si>
  <si>
    <t>野村町松本（若山町）の旧火葬場の北側に市営斎場が完成</t>
    <rPh sb="0" eb="2">
      <t>ノムラ</t>
    </rPh>
    <rPh sb="2" eb="3">
      <t>マチ</t>
    </rPh>
    <rPh sb="3" eb="5">
      <t>マツモト</t>
    </rPh>
    <rPh sb="6" eb="9">
      <t>ワカヤマチョウ</t>
    </rPh>
    <rPh sb="11" eb="12">
      <t>キュウ</t>
    </rPh>
    <rPh sb="12" eb="15">
      <t>カソウバ</t>
    </rPh>
    <rPh sb="16" eb="18">
      <t>キタガワ</t>
    </rPh>
    <rPh sb="19" eb="21">
      <t>シエイ</t>
    </rPh>
    <rPh sb="21" eb="23">
      <t>サイジョウ</t>
    </rPh>
    <rPh sb="24" eb="26">
      <t>カンセイ</t>
    </rPh>
    <phoneticPr fontId="2"/>
  </si>
  <si>
    <t>若山町</t>
    <rPh sb="0" eb="2">
      <t>ワカヤマ</t>
    </rPh>
    <rPh sb="2" eb="3">
      <t>チョウ</t>
    </rPh>
    <phoneticPr fontId="2"/>
  </si>
  <si>
    <t>市営斎場</t>
    <phoneticPr fontId="2"/>
  </si>
  <si>
    <t>『亀山のあゆみ』P.312・年表</t>
    <phoneticPr fontId="2"/>
  </si>
  <si>
    <t>西野公園に日本庭園と遊歩道が完成</t>
    <rPh sb="0" eb="2">
      <t>ニシノ</t>
    </rPh>
    <rPh sb="2" eb="4">
      <t>コウエン</t>
    </rPh>
    <rPh sb="5" eb="7">
      <t>ニホン</t>
    </rPh>
    <rPh sb="7" eb="9">
      <t>テイエン</t>
    </rPh>
    <rPh sb="10" eb="13">
      <t>ユウホドウ</t>
    </rPh>
    <rPh sb="14" eb="16">
      <t>カンセイ</t>
    </rPh>
    <phoneticPr fontId="2"/>
  </si>
  <si>
    <t>西野公園</t>
    <phoneticPr fontId="2"/>
  </si>
  <si>
    <t>西野公園体育館北側にスポーツ研修センターが完成</t>
    <rPh sb="0" eb="2">
      <t>ニシノ</t>
    </rPh>
    <rPh sb="2" eb="4">
      <t>コウエン</t>
    </rPh>
    <rPh sb="4" eb="6">
      <t>タイイク</t>
    </rPh>
    <rPh sb="6" eb="7">
      <t>カン</t>
    </rPh>
    <rPh sb="7" eb="8">
      <t>キタ</t>
    </rPh>
    <rPh sb="8" eb="9">
      <t>ガワ</t>
    </rPh>
    <rPh sb="14" eb="16">
      <t>ケンシュウ</t>
    </rPh>
    <rPh sb="21" eb="23">
      <t>カンセイ</t>
    </rPh>
    <phoneticPr fontId="2"/>
  </si>
  <si>
    <t>『亀山のあゆみ』P.441・年表</t>
    <phoneticPr fontId="2"/>
  </si>
  <si>
    <t>かめやま「市議会だより」創刊号発刊</t>
    <rPh sb="5" eb="6">
      <t>シ</t>
    </rPh>
    <rPh sb="6" eb="8">
      <t>ギカイ</t>
    </rPh>
    <rPh sb="12" eb="14">
      <t>ソウカン</t>
    </rPh>
    <rPh sb="14" eb="15">
      <t>ゴウ</t>
    </rPh>
    <rPh sb="15" eb="17">
      <t>ハッカン</t>
    </rPh>
    <phoneticPr fontId="2"/>
  </si>
  <si>
    <t>旧井田川地区自治センター跡地に井田川地区集会所が完成
運営は井田川地区自治振興会が行う</t>
    <rPh sb="0" eb="1">
      <t>キュウ</t>
    </rPh>
    <rPh sb="1" eb="4">
      <t>イダガワ</t>
    </rPh>
    <rPh sb="4" eb="6">
      <t>チク</t>
    </rPh>
    <rPh sb="6" eb="8">
      <t>ジチ</t>
    </rPh>
    <rPh sb="12" eb="13">
      <t>アト</t>
    </rPh>
    <rPh sb="13" eb="14">
      <t>チ</t>
    </rPh>
    <rPh sb="15" eb="18">
      <t>イダガワ</t>
    </rPh>
    <rPh sb="18" eb="20">
      <t>チク</t>
    </rPh>
    <rPh sb="20" eb="22">
      <t>シュウカイ</t>
    </rPh>
    <rPh sb="22" eb="23">
      <t>ショ</t>
    </rPh>
    <rPh sb="24" eb="26">
      <t>カンセイ</t>
    </rPh>
    <rPh sb="27" eb="29">
      <t>ウンエイ</t>
    </rPh>
    <rPh sb="30" eb="33">
      <t>イダガワ</t>
    </rPh>
    <rPh sb="33" eb="35">
      <t>チク</t>
    </rPh>
    <rPh sb="35" eb="37">
      <t>ジチ</t>
    </rPh>
    <rPh sb="37" eb="40">
      <t>シンコウカイ</t>
    </rPh>
    <rPh sb="41" eb="42">
      <t>オコナ</t>
    </rPh>
    <phoneticPr fontId="2"/>
  </si>
  <si>
    <t>井田川</t>
    <phoneticPr fontId="2"/>
  </si>
  <si>
    <t>井田川地区集会所</t>
    <phoneticPr fontId="2"/>
  </si>
  <si>
    <t>亀山市地区集会所の設置・管理に関する条例が施行される</t>
    <rPh sb="0" eb="2">
      <t>カメヤマ</t>
    </rPh>
    <rPh sb="2" eb="3">
      <t>シ</t>
    </rPh>
    <rPh sb="3" eb="5">
      <t>チク</t>
    </rPh>
    <rPh sb="5" eb="7">
      <t>シュウカイ</t>
    </rPh>
    <rPh sb="7" eb="8">
      <t>ジョ</t>
    </rPh>
    <rPh sb="9" eb="11">
      <t>セッチ</t>
    </rPh>
    <rPh sb="12" eb="14">
      <t>カンリ</t>
    </rPh>
    <rPh sb="15" eb="16">
      <t>カン</t>
    </rPh>
    <rPh sb="18" eb="20">
      <t>ジョウレイ</t>
    </rPh>
    <rPh sb="21" eb="23">
      <t>シコウ</t>
    </rPh>
    <phoneticPr fontId="2"/>
  </si>
  <si>
    <t>白木一色無水源地域に簡易水道による給水を始める</t>
    <rPh sb="0" eb="2">
      <t>シラキ</t>
    </rPh>
    <rPh sb="2" eb="4">
      <t>イッシキ</t>
    </rPh>
    <rPh sb="4" eb="5">
      <t>ム</t>
    </rPh>
    <rPh sb="5" eb="7">
      <t>スイゲン</t>
    </rPh>
    <rPh sb="7" eb="9">
      <t>チイキ</t>
    </rPh>
    <rPh sb="10" eb="12">
      <t>カンイ</t>
    </rPh>
    <rPh sb="12" eb="14">
      <t>スイドウ</t>
    </rPh>
    <rPh sb="17" eb="19">
      <t>キュウスイ</t>
    </rPh>
    <rPh sb="20" eb="21">
      <t>ハジ</t>
    </rPh>
    <phoneticPr fontId="2"/>
  </si>
  <si>
    <t>関町白木一色</t>
    <rPh sb="0" eb="1">
      <t>セキ</t>
    </rPh>
    <rPh sb="1" eb="2">
      <t>チョウ</t>
    </rPh>
    <rPh sb="2" eb="4">
      <t>シラキ</t>
    </rPh>
    <rPh sb="4" eb="6">
      <t>イッシキ</t>
    </rPh>
    <phoneticPr fontId="2"/>
  </si>
  <si>
    <t>関町青少年育成町民会議結成</t>
    <rPh sb="0" eb="2">
      <t>セキチョウ</t>
    </rPh>
    <rPh sb="2" eb="5">
      <t>セイショウネン</t>
    </rPh>
    <rPh sb="5" eb="7">
      <t>イクセイ</t>
    </rPh>
    <rPh sb="7" eb="9">
      <t>チョウミン</t>
    </rPh>
    <rPh sb="9" eb="11">
      <t>カイギ</t>
    </rPh>
    <rPh sb="11" eb="13">
      <t>ケッセイ</t>
    </rPh>
    <phoneticPr fontId="2"/>
  </si>
  <si>
    <t>坂下小学校廃校</t>
    <rPh sb="0" eb="2">
      <t>サカシタ</t>
    </rPh>
    <rPh sb="2" eb="5">
      <t>ショウガッコウ</t>
    </rPh>
    <rPh sb="5" eb="6">
      <t>ハイ</t>
    </rPh>
    <rPh sb="6" eb="7">
      <t>コウ</t>
    </rPh>
    <phoneticPr fontId="2"/>
  </si>
  <si>
    <t>加太小学校ナイター設備完成</t>
    <rPh sb="0" eb="2">
      <t>カブト</t>
    </rPh>
    <rPh sb="2" eb="5">
      <t>ショウガッコウ</t>
    </rPh>
    <rPh sb="9" eb="11">
      <t>セツビ</t>
    </rPh>
    <rPh sb="11" eb="13">
      <t>カンセイ</t>
    </rPh>
    <phoneticPr fontId="2"/>
  </si>
  <si>
    <t>学校のあゆみ／加太小学校のれきし</t>
    <phoneticPr fontId="2"/>
  </si>
  <si>
    <t>関町健康づくり運動推進協議会設置</t>
    <rPh sb="0" eb="1">
      <t>セキ</t>
    </rPh>
    <rPh sb="1" eb="2">
      <t>マチ</t>
    </rPh>
    <rPh sb="2" eb="4">
      <t>ケンコウ</t>
    </rPh>
    <rPh sb="7" eb="9">
      <t>ウンドウ</t>
    </rPh>
    <rPh sb="9" eb="11">
      <t>スイシン</t>
    </rPh>
    <rPh sb="11" eb="14">
      <t>キョウギカイ</t>
    </rPh>
    <rPh sb="14" eb="16">
      <t>セッチ</t>
    </rPh>
    <phoneticPr fontId="2"/>
  </si>
  <si>
    <t>新所不燃物投棄場を閉鎖し、６月１日、鷲山に新投棄場を開設</t>
    <rPh sb="1" eb="2">
      <t>ショ</t>
    </rPh>
    <rPh sb="2" eb="5">
      <t>フネンブツ</t>
    </rPh>
    <rPh sb="5" eb="7">
      <t>トウキ</t>
    </rPh>
    <rPh sb="7" eb="8">
      <t>バ</t>
    </rPh>
    <rPh sb="9" eb="11">
      <t>ヘイサ</t>
    </rPh>
    <rPh sb="14" eb="15">
      <t>ガツ</t>
    </rPh>
    <rPh sb="16" eb="17">
      <t>ニチ</t>
    </rPh>
    <rPh sb="18" eb="20">
      <t>ワシヤマ</t>
    </rPh>
    <rPh sb="21" eb="22">
      <t>シン</t>
    </rPh>
    <rPh sb="22" eb="24">
      <t>トウキ</t>
    </rPh>
    <rPh sb="24" eb="25">
      <t>バ</t>
    </rPh>
    <rPh sb="26" eb="28">
      <t>カイセツ</t>
    </rPh>
    <phoneticPr fontId="2"/>
  </si>
  <si>
    <t>関町鷲山・関町新所</t>
    <rPh sb="0" eb="1">
      <t>セキ</t>
    </rPh>
    <rPh sb="1" eb="2">
      <t>チョウ</t>
    </rPh>
    <rPh sb="5" eb="7">
      <t>セキチョウ</t>
    </rPh>
    <rPh sb="7" eb="9">
      <t>シンジョ</t>
    </rPh>
    <phoneticPr fontId="2"/>
  </si>
  <si>
    <t>不燃物投棄場</t>
    <phoneticPr fontId="2"/>
  </si>
  <si>
    <t>加太地区集落センター完成</t>
    <rPh sb="0" eb="2">
      <t>カブト</t>
    </rPh>
    <rPh sb="2" eb="4">
      <t>チク</t>
    </rPh>
    <rPh sb="4" eb="6">
      <t>シュウラク</t>
    </rPh>
    <rPh sb="10" eb="12">
      <t>カンセイ</t>
    </rPh>
    <phoneticPr fontId="2"/>
  </si>
  <si>
    <t>加太地区集落センター</t>
    <phoneticPr fontId="2"/>
  </si>
  <si>
    <t>関町民会館竣工</t>
    <rPh sb="0" eb="1">
      <t>セキ</t>
    </rPh>
    <rPh sb="1" eb="3">
      <t>チョウミン</t>
    </rPh>
    <rPh sb="3" eb="5">
      <t>カイカン</t>
    </rPh>
    <rPh sb="5" eb="7">
      <t>シュンコウ</t>
    </rPh>
    <phoneticPr fontId="2"/>
  </si>
  <si>
    <t>関町民会館</t>
  </si>
  <si>
    <t>日本の歴史の中の亀山／現代の亀山／教育と医療・福祉／亀山市民会館と関町民会館</t>
    <rPh sb="26" eb="32">
      <t>カメヤマシミンカイカン</t>
    </rPh>
    <rPh sb="33" eb="38">
      <t>セキチョウミンカイカン</t>
    </rPh>
    <phoneticPr fontId="2"/>
  </si>
  <si>
    <t>http://kameyamarekihaku.jp/kodomo/w_e_b/rekishi/gendai/kyoiku/page005.html</t>
  </si>
  <si>
    <t>坂下保育園が旧坂下小学校校舎に移転</t>
    <rPh sb="0" eb="2">
      <t>サカシタ</t>
    </rPh>
    <rPh sb="2" eb="5">
      <t>ホイクエン</t>
    </rPh>
    <rPh sb="6" eb="7">
      <t>キュウ</t>
    </rPh>
    <rPh sb="7" eb="9">
      <t>サカシタ</t>
    </rPh>
    <rPh sb="9" eb="12">
      <t>ショウガッコウ</t>
    </rPh>
    <rPh sb="12" eb="14">
      <t>コウシャ</t>
    </rPh>
    <rPh sb="15" eb="17">
      <t>イテン</t>
    </rPh>
    <phoneticPr fontId="2"/>
  </si>
  <si>
    <t>亀山市消防署関分署庁舎完成、１０月１日業務開始</t>
    <rPh sb="0" eb="3">
      <t>カメヤマシ</t>
    </rPh>
    <rPh sb="3" eb="6">
      <t>ショウボウショ</t>
    </rPh>
    <rPh sb="6" eb="7">
      <t>セキ</t>
    </rPh>
    <rPh sb="7" eb="9">
      <t>ブンショ</t>
    </rPh>
    <rPh sb="9" eb="11">
      <t>チョウシャ</t>
    </rPh>
    <rPh sb="11" eb="13">
      <t>カンセイ</t>
    </rPh>
    <rPh sb="16" eb="17">
      <t>ガツ</t>
    </rPh>
    <rPh sb="18" eb="19">
      <t>ニチ</t>
    </rPh>
    <rPh sb="19" eb="21">
      <t>ギョウム</t>
    </rPh>
    <rPh sb="21" eb="23">
      <t>カイシ</t>
    </rPh>
    <phoneticPr fontId="2"/>
  </si>
  <si>
    <t>市消防関分署</t>
    <phoneticPr fontId="2"/>
  </si>
  <si>
    <t>「御厩の松」県天然記念物に指定</t>
    <rPh sb="1" eb="2">
      <t>オ</t>
    </rPh>
    <rPh sb="2" eb="3">
      <t>ウマヤ</t>
    </rPh>
    <rPh sb="4" eb="5">
      <t>マツ</t>
    </rPh>
    <rPh sb="6" eb="7">
      <t>ケン</t>
    </rPh>
    <rPh sb="7" eb="9">
      <t>テンネン</t>
    </rPh>
    <rPh sb="9" eb="12">
      <t>キネンブツ</t>
    </rPh>
    <rPh sb="13" eb="15">
      <t>シテイ</t>
    </rPh>
    <phoneticPr fontId="2"/>
  </si>
  <si>
    <t>関町古厩</t>
    <rPh sb="0" eb="1">
      <t>セキ</t>
    </rPh>
    <rPh sb="1" eb="2">
      <t>チョウ</t>
    </rPh>
    <rPh sb="2" eb="4">
      <t>フルマヤ</t>
    </rPh>
    <phoneticPr fontId="2"/>
  </si>
  <si>
    <t>御厩の松</t>
    <phoneticPr fontId="2"/>
  </si>
  <si>
    <t>昭和55</t>
    <phoneticPr fontId="2"/>
  </si>
  <si>
    <t>野村町松本（若山町）に亀山市立図書館が完成</t>
    <rPh sb="0" eb="2">
      <t>ノムラ</t>
    </rPh>
    <rPh sb="2" eb="3">
      <t>マチ</t>
    </rPh>
    <rPh sb="3" eb="5">
      <t>マツモト</t>
    </rPh>
    <rPh sb="6" eb="9">
      <t>ワカヤマチョウ</t>
    </rPh>
    <rPh sb="11" eb="15">
      <t>カメヤマシリツ</t>
    </rPh>
    <rPh sb="15" eb="18">
      <t>トショカン</t>
    </rPh>
    <rPh sb="19" eb="21">
      <t>カンセイ</t>
    </rPh>
    <phoneticPr fontId="2"/>
  </si>
  <si>
    <t>亀山市立図書館</t>
    <phoneticPr fontId="2"/>
  </si>
  <si>
    <t>日本の歴史の中の亀山／現代の亀山／教育と医療・福祉／図書館</t>
    <rPh sb="26" eb="29">
      <t>トショカン</t>
    </rPh>
    <phoneticPr fontId="2"/>
  </si>
  <si>
    <t>県営北部地区（川崎地区）ほ場(圃場）整備事業完成</t>
    <rPh sb="0" eb="1">
      <t>ケン</t>
    </rPh>
    <rPh sb="1" eb="2">
      <t>エイ</t>
    </rPh>
    <rPh sb="2" eb="4">
      <t>ホクブ</t>
    </rPh>
    <rPh sb="4" eb="6">
      <t>チク</t>
    </rPh>
    <rPh sb="7" eb="9">
      <t>カワサキ</t>
    </rPh>
    <rPh sb="9" eb="11">
      <t>チク</t>
    </rPh>
    <rPh sb="13" eb="14">
      <t>バ</t>
    </rPh>
    <rPh sb="15" eb="17">
      <t>ホジョウ</t>
    </rPh>
    <rPh sb="18" eb="20">
      <t>セイビ</t>
    </rPh>
    <rPh sb="20" eb="22">
      <t>ジギョウ</t>
    </rPh>
    <rPh sb="22" eb="24">
      <t>カンセイ</t>
    </rPh>
    <phoneticPr fontId="2"/>
  </si>
  <si>
    <t>県営北部地区（川崎地区）ほ場(圃場）</t>
    <phoneticPr fontId="2"/>
  </si>
  <si>
    <t>東御幸町の元成田病院跡地に亀山市立児童センターが完成</t>
    <rPh sb="0" eb="1">
      <t>ヒガシ</t>
    </rPh>
    <rPh sb="1" eb="2">
      <t>ミ</t>
    </rPh>
    <rPh sb="2" eb="3">
      <t>ユキ</t>
    </rPh>
    <rPh sb="3" eb="4">
      <t>マチ</t>
    </rPh>
    <rPh sb="5" eb="6">
      <t>モト</t>
    </rPh>
    <rPh sb="6" eb="8">
      <t>ナリタ</t>
    </rPh>
    <rPh sb="8" eb="10">
      <t>ビョウイン</t>
    </rPh>
    <rPh sb="10" eb="12">
      <t>アトチ</t>
    </rPh>
    <rPh sb="13" eb="17">
      <t>カメヤマシリツ</t>
    </rPh>
    <rPh sb="17" eb="19">
      <t>ジドウ</t>
    </rPh>
    <rPh sb="24" eb="26">
      <t>カンセイ</t>
    </rPh>
    <phoneticPr fontId="2"/>
  </si>
  <si>
    <t>亀山市立児童センター</t>
    <phoneticPr fontId="2"/>
  </si>
  <si>
    <t>『亀山のあゆみ』P.379・年表</t>
    <phoneticPr fontId="2"/>
  </si>
  <si>
    <t>市と市民会議、昨年10月「交通機関利用状況」調査実施</t>
    <rPh sb="0" eb="1">
      <t>シ</t>
    </rPh>
    <rPh sb="2" eb="3">
      <t>シ</t>
    </rPh>
    <rPh sb="4" eb="6">
      <t>カイギ</t>
    </rPh>
    <rPh sb="7" eb="9">
      <t>サクネン</t>
    </rPh>
    <rPh sb="11" eb="12">
      <t>ガツ</t>
    </rPh>
    <rPh sb="13" eb="15">
      <t>コウツウ</t>
    </rPh>
    <rPh sb="15" eb="17">
      <t>キカン</t>
    </rPh>
    <rPh sb="17" eb="19">
      <t>リヨウ</t>
    </rPh>
    <rPh sb="19" eb="21">
      <t>ジョウキョウ</t>
    </rPh>
    <rPh sb="22" eb="24">
      <t>チョウサ</t>
    </rPh>
    <rPh sb="24" eb="26">
      <t>ジッシ</t>
    </rPh>
    <phoneticPr fontId="2"/>
  </si>
  <si>
    <t>亀山食生活改善推進協議会が設立</t>
    <rPh sb="0" eb="2">
      <t>カメヤマ</t>
    </rPh>
    <rPh sb="2" eb="5">
      <t>ショクセイカツ</t>
    </rPh>
    <rPh sb="5" eb="7">
      <t>カイゼン</t>
    </rPh>
    <rPh sb="7" eb="9">
      <t>スイシン</t>
    </rPh>
    <rPh sb="9" eb="12">
      <t>キョウギカイ</t>
    </rPh>
    <rPh sb="13" eb="15">
      <t>セツリツ</t>
    </rPh>
    <phoneticPr fontId="2"/>
  </si>
  <si>
    <t>旧亀山市名誉市民第２号の井野碩哉が逝去</t>
    <rPh sb="0" eb="1">
      <t>キュウ</t>
    </rPh>
    <rPh sb="1" eb="4">
      <t>カメヤマシ</t>
    </rPh>
    <rPh sb="4" eb="6">
      <t>メイヨ</t>
    </rPh>
    <rPh sb="6" eb="8">
      <t>シミン</t>
    </rPh>
    <rPh sb="8" eb="9">
      <t>ダイ</t>
    </rPh>
    <rPh sb="10" eb="11">
      <t>ゴウ</t>
    </rPh>
    <rPh sb="12" eb="13">
      <t>イ</t>
    </rPh>
    <rPh sb="13" eb="14">
      <t>ノ</t>
    </rPh>
    <rPh sb="14" eb="16">
      <t>ヒロヤ</t>
    </rPh>
    <rPh sb="17" eb="19">
      <t>セイキョ</t>
    </rPh>
    <phoneticPr fontId="2"/>
  </si>
  <si>
    <t>井野碩哉</t>
    <phoneticPr fontId="2"/>
  </si>
  <si>
    <t>亀山市防火協会、関町防火協会と合併し、亀山関防火協会として発足</t>
    <rPh sb="0" eb="1">
      <t>カメ</t>
    </rPh>
    <rPh sb="1" eb="2">
      <t>ヤマ</t>
    </rPh>
    <rPh sb="2" eb="3">
      <t>シ</t>
    </rPh>
    <rPh sb="3" eb="5">
      <t>ボウカ</t>
    </rPh>
    <rPh sb="5" eb="7">
      <t>キョウカイ</t>
    </rPh>
    <rPh sb="8" eb="10">
      <t>セキチョウ</t>
    </rPh>
    <rPh sb="10" eb="12">
      <t>ボウカ</t>
    </rPh>
    <rPh sb="12" eb="14">
      <t>キョウカイ</t>
    </rPh>
    <rPh sb="15" eb="17">
      <t>ガッペイ</t>
    </rPh>
    <rPh sb="19" eb="21">
      <t>カメヤマ</t>
    </rPh>
    <rPh sb="21" eb="22">
      <t>セキ</t>
    </rPh>
    <rPh sb="22" eb="24">
      <t>ボウカ</t>
    </rPh>
    <rPh sb="24" eb="26">
      <t>キョウカイ</t>
    </rPh>
    <rPh sb="29" eb="31">
      <t>ホッソク</t>
    </rPh>
    <phoneticPr fontId="2"/>
  </si>
  <si>
    <t>市立図書館の移動図書館『宝くじ号』スタート</t>
    <rPh sb="0" eb="2">
      <t>シリツ</t>
    </rPh>
    <rPh sb="2" eb="5">
      <t>トショカン</t>
    </rPh>
    <rPh sb="6" eb="8">
      <t>イドウ</t>
    </rPh>
    <rPh sb="8" eb="11">
      <t>トショカン</t>
    </rPh>
    <rPh sb="12" eb="13">
      <t>タカラ</t>
    </rPh>
    <rPh sb="15" eb="16">
      <t>ゴウ</t>
    </rPh>
    <phoneticPr fontId="2"/>
  </si>
  <si>
    <t>移動図書館『宝くじ号』</t>
    <phoneticPr fontId="2"/>
  </si>
  <si>
    <t>日本の歴史の中の亀山／現代の亀山／教育と医療・福祉／図書館</t>
    <phoneticPr fontId="2"/>
  </si>
  <si>
    <t>原尾生活改善センター完成
小川、池山、坂本につぐ亀山市内で４番目のセンター</t>
    <rPh sb="0" eb="2">
      <t>ワラビ</t>
    </rPh>
    <rPh sb="2" eb="4">
      <t>セイカツ</t>
    </rPh>
    <rPh sb="4" eb="6">
      <t>カイゼン</t>
    </rPh>
    <rPh sb="10" eb="12">
      <t>カンセイ</t>
    </rPh>
    <rPh sb="13" eb="15">
      <t>オガワ</t>
    </rPh>
    <rPh sb="16" eb="18">
      <t>イケヤマ</t>
    </rPh>
    <rPh sb="19" eb="21">
      <t>サカモト</t>
    </rPh>
    <rPh sb="24" eb="26">
      <t>カメヤマ</t>
    </rPh>
    <rPh sb="26" eb="28">
      <t>シナイ</t>
    </rPh>
    <rPh sb="30" eb="32">
      <t>バンメ</t>
    </rPh>
    <phoneticPr fontId="2"/>
  </si>
  <si>
    <t>原尾生活改善センター</t>
    <phoneticPr fontId="2"/>
  </si>
  <si>
    <t>関町町なみ保存会設立</t>
    <rPh sb="0" eb="1">
      <t>セキ</t>
    </rPh>
    <rPh sb="1" eb="2">
      <t>マチ</t>
    </rPh>
    <rPh sb="2" eb="3">
      <t>マチ</t>
    </rPh>
    <rPh sb="5" eb="8">
      <t>ホゾンカイ</t>
    </rPh>
    <rPh sb="8" eb="10">
      <t>セツリツ</t>
    </rPh>
    <phoneticPr fontId="2"/>
  </si>
  <si>
    <t>名阪国道第二次工事（四車線）完工</t>
    <rPh sb="0" eb="2">
      <t>メイハン</t>
    </rPh>
    <rPh sb="2" eb="4">
      <t>コクドウ</t>
    </rPh>
    <rPh sb="4" eb="7">
      <t>ダイニジ</t>
    </rPh>
    <rPh sb="7" eb="9">
      <t>コウジ</t>
    </rPh>
    <rPh sb="10" eb="11">
      <t>ヨン</t>
    </rPh>
    <rPh sb="11" eb="12">
      <t>クルマ</t>
    </rPh>
    <rPh sb="12" eb="13">
      <t>セン</t>
    </rPh>
    <rPh sb="14" eb="16">
      <t>カンコウ</t>
    </rPh>
    <phoneticPr fontId="2"/>
  </si>
  <si>
    <t>昭和55</t>
    <phoneticPr fontId="2"/>
  </si>
  <si>
    <t>関駅前広場で「旧東海道宿場の道」の開設式挙行</t>
    <rPh sb="0" eb="1">
      <t>セキ</t>
    </rPh>
    <rPh sb="1" eb="2">
      <t>エキ</t>
    </rPh>
    <rPh sb="2" eb="3">
      <t>マエ</t>
    </rPh>
    <rPh sb="3" eb="5">
      <t>ヒロバ</t>
    </rPh>
    <rPh sb="7" eb="8">
      <t>キュウ</t>
    </rPh>
    <rPh sb="8" eb="11">
      <t>トウカイドウ</t>
    </rPh>
    <rPh sb="11" eb="13">
      <t>シュクバ</t>
    </rPh>
    <rPh sb="14" eb="15">
      <t>ミチ</t>
    </rPh>
    <rPh sb="17" eb="19">
      <t>カイセツ</t>
    </rPh>
    <rPh sb="19" eb="20">
      <t>シキ</t>
    </rPh>
    <rPh sb="20" eb="22">
      <t>キョコウ</t>
    </rPh>
    <phoneticPr fontId="2"/>
  </si>
  <si>
    <t>「関地蔵院本堂」県有形文化財に指定</t>
    <rPh sb="1" eb="2">
      <t>セキ</t>
    </rPh>
    <rPh sb="2" eb="4">
      <t>ジゾウ</t>
    </rPh>
    <rPh sb="4" eb="5">
      <t>イン</t>
    </rPh>
    <rPh sb="5" eb="7">
      <t>ホンドウ</t>
    </rPh>
    <rPh sb="8" eb="9">
      <t>ケン</t>
    </rPh>
    <rPh sb="9" eb="11">
      <t>ユウケイ</t>
    </rPh>
    <rPh sb="11" eb="14">
      <t>ブンカザイ</t>
    </rPh>
    <rPh sb="15" eb="17">
      <t>シテイ</t>
    </rPh>
    <phoneticPr fontId="2"/>
  </si>
  <si>
    <t>亀山のいいとこさがし／建物</t>
  </si>
  <si>
    <t>関町公民館、関小学校から関町民会館に移転</t>
    <rPh sb="0" eb="2">
      <t>セキチョウ</t>
    </rPh>
    <rPh sb="2" eb="5">
      <t>コウミンカン</t>
    </rPh>
    <rPh sb="6" eb="7">
      <t>セキ</t>
    </rPh>
    <rPh sb="7" eb="10">
      <t>ショウガッコウ</t>
    </rPh>
    <rPh sb="12" eb="14">
      <t>セキマチ</t>
    </rPh>
    <rPh sb="15" eb="17">
      <t>カイカン</t>
    </rPh>
    <rPh sb="18" eb="20">
      <t>イテン</t>
    </rPh>
    <phoneticPr fontId="2"/>
  </si>
  <si>
    <t>関町公民館</t>
  </si>
  <si>
    <t>小野地区ほ場（圃場）整備完成</t>
    <rPh sb="0" eb="2">
      <t>オノ</t>
    </rPh>
    <rPh sb="2" eb="4">
      <t>チク</t>
    </rPh>
    <rPh sb="5" eb="6">
      <t>ジョウ</t>
    </rPh>
    <rPh sb="7" eb="8">
      <t>ホ</t>
    </rPh>
    <rPh sb="8" eb="9">
      <t>ジョウ</t>
    </rPh>
    <rPh sb="10" eb="12">
      <t>セイビ</t>
    </rPh>
    <rPh sb="12" eb="14">
      <t>カンセイ</t>
    </rPh>
    <phoneticPr fontId="2"/>
  </si>
  <si>
    <t>小野地区ほ場（圃場）</t>
    <phoneticPr fontId="2"/>
  </si>
  <si>
    <t>第９回全国林業後継者大会が関町民会館で開催</t>
    <rPh sb="0" eb="1">
      <t>ダイ</t>
    </rPh>
    <rPh sb="2" eb="3">
      <t>カイ</t>
    </rPh>
    <rPh sb="3" eb="5">
      <t>ゼンコク</t>
    </rPh>
    <rPh sb="5" eb="7">
      <t>リンギョウ</t>
    </rPh>
    <rPh sb="7" eb="10">
      <t>コウケイシャ</t>
    </rPh>
    <rPh sb="10" eb="12">
      <t>タイカイ</t>
    </rPh>
    <rPh sb="13" eb="15">
      <t>セキチョウ</t>
    </rPh>
    <rPh sb="15" eb="16">
      <t>ミン</t>
    </rPh>
    <rPh sb="16" eb="18">
      <t>カイカン</t>
    </rPh>
    <rPh sb="19" eb="21">
      <t>カイサイ</t>
    </rPh>
    <phoneticPr fontId="2"/>
  </si>
  <si>
    <t>関宿町並保存条例制定</t>
    <rPh sb="0" eb="1">
      <t>セキ</t>
    </rPh>
    <rPh sb="1" eb="2">
      <t>ヤド</t>
    </rPh>
    <rPh sb="2" eb="4">
      <t>マチナ</t>
    </rPh>
    <rPh sb="4" eb="6">
      <t>ホゾン</t>
    </rPh>
    <rPh sb="6" eb="8">
      <t>ジョウレイ</t>
    </rPh>
    <rPh sb="8" eb="10">
      <t>セイテイ</t>
    </rPh>
    <phoneticPr fontId="2"/>
  </si>
  <si>
    <t>むかしの道と交通／亀山の近世の道</t>
    <rPh sb="4" eb="5">
      <t>ミチ</t>
    </rPh>
    <rPh sb="6" eb="9">
      <t>コウツウ・</t>
    </rPh>
    <rPh sb="9" eb="11">
      <t>カメヤマ</t>
    </rPh>
    <rPh sb="12" eb="14">
      <t>キンセイ</t>
    </rPh>
    <rPh sb="15" eb="16">
      <t>ミチ</t>
    </rPh>
    <phoneticPr fontId="2"/>
  </si>
  <si>
    <t>『鈴鹿関町史』下巻年表
『関町五十周年記念誌』
『亀山市史』通史　近代現代</t>
    <rPh sb="1" eb="3">
      <t>スズカ</t>
    </rPh>
    <rPh sb="3" eb="4">
      <t>セキ</t>
    </rPh>
    <rPh sb="4" eb="6">
      <t>チョウシ</t>
    </rPh>
    <rPh sb="7" eb="9">
      <t>ゲカン</t>
    </rPh>
    <rPh sb="9" eb="10">
      <t>ネン</t>
    </rPh>
    <rPh sb="10" eb="11">
      <t>ヒョウ</t>
    </rPh>
    <rPh sb="24" eb="37">
      <t>ツ</t>
    </rPh>
    <phoneticPr fontId="2"/>
  </si>
  <si>
    <t>亀山城と宿場／４つの宿場／東海道・伊勢街道・大和街道分岐の宿場 関宿</t>
    <rPh sb="0" eb="3">
      <t>カメヤマジョウ</t>
    </rPh>
    <rPh sb="4" eb="7">
      <t>シュクバ・</t>
    </rPh>
    <rPh sb="10" eb="12">
      <t>シュクバ</t>
    </rPh>
    <rPh sb="13" eb="16">
      <t>トウカイドウ</t>
    </rPh>
    <rPh sb="17" eb="19">
      <t>イセ</t>
    </rPh>
    <rPh sb="19" eb="21">
      <t>カイドウ</t>
    </rPh>
    <rPh sb="22" eb="24">
      <t>ヤマト</t>
    </rPh>
    <rPh sb="24" eb="26">
      <t>カイドウ</t>
    </rPh>
    <rPh sb="26" eb="28">
      <t>ブンキ</t>
    </rPh>
    <rPh sb="29" eb="31">
      <t>シュクバ</t>
    </rPh>
    <rPh sb="32" eb="33">
      <t>セキ</t>
    </rPh>
    <rPh sb="33" eb="34">
      <t>ジュク</t>
    </rPh>
    <phoneticPr fontId="2"/>
  </si>
  <si>
    <t>亀山のいいとこさがし／景色のよいところや歴史を知る手掛かりとなるもの／関宿のまちなみ</t>
    <phoneticPr fontId="2"/>
  </si>
  <si>
    <t>http://kameyamarekihaku.jp/kodomo/w_e_b/iitoko/tegakari/machinami/index.html</t>
  </si>
  <si>
    <t>関小学校プール竣工式挙行</t>
    <rPh sb="0" eb="1">
      <t>セキ</t>
    </rPh>
    <rPh sb="1" eb="4">
      <t>ショウガッコウ</t>
    </rPh>
    <rPh sb="7" eb="9">
      <t>シュンコウ</t>
    </rPh>
    <rPh sb="9" eb="10">
      <t>シキ</t>
    </rPh>
    <rPh sb="10" eb="12">
      <t>キョコウ</t>
    </rPh>
    <phoneticPr fontId="2"/>
  </si>
  <si>
    <t>関小学校</t>
    <phoneticPr fontId="2"/>
  </si>
  <si>
    <t>昭和56</t>
  </si>
  <si>
    <t>平尾生活改善センター完成</t>
    <rPh sb="0" eb="2">
      <t>ヒラオ</t>
    </rPh>
    <rPh sb="2" eb="4">
      <t>セイカツ</t>
    </rPh>
    <rPh sb="4" eb="6">
      <t>カイゼン</t>
    </rPh>
    <rPh sb="10" eb="12">
      <t>カンセイ</t>
    </rPh>
    <phoneticPr fontId="2"/>
  </si>
  <si>
    <t>平尾生活改善センター</t>
    <phoneticPr fontId="2"/>
  </si>
  <si>
    <t>南部農免道路天神～古厩間完成</t>
    <rPh sb="0" eb="2">
      <t>ナンブ</t>
    </rPh>
    <rPh sb="2" eb="3">
      <t>ノウ</t>
    </rPh>
    <rPh sb="3" eb="4">
      <t>メン</t>
    </rPh>
    <rPh sb="4" eb="6">
      <t>ドウロ</t>
    </rPh>
    <rPh sb="6" eb="8">
      <t>テンジン</t>
    </rPh>
    <rPh sb="9" eb="11">
      <t>フルマヤ</t>
    </rPh>
    <rPh sb="11" eb="12">
      <t>アイダ</t>
    </rPh>
    <rPh sb="12" eb="14">
      <t>カンセイ</t>
    </rPh>
    <phoneticPr fontId="2"/>
  </si>
  <si>
    <t>亀山南・神辺・関</t>
    <rPh sb="0" eb="2">
      <t>カメヤマ</t>
    </rPh>
    <rPh sb="2" eb="3">
      <t>ミナミ</t>
    </rPh>
    <rPh sb="4" eb="5">
      <t>カミ</t>
    </rPh>
    <rPh sb="5" eb="6">
      <t>ヘン</t>
    </rPh>
    <rPh sb="7" eb="8">
      <t>セキ</t>
    </rPh>
    <phoneticPr fontId="2"/>
  </si>
  <si>
    <t>南部農免道路</t>
    <phoneticPr fontId="2"/>
  </si>
  <si>
    <t>西野公園に市営プール完成</t>
    <rPh sb="0" eb="2">
      <t>ニシノ</t>
    </rPh>
    <rPh sb="2" eb="4">
      <t>コウエン</t>
    </rPh>
    <rPh sb="5" eb="7">
      <t>シエイ</t>
    </rPh>
    <rPh sb="10" eb="12">
      <t>カンセイ</t>
    </rPh>
    <phoneticPr fontId="2"/>
  </si>
  <si>
    <t>『亀山のあゆみ』P.443・年表</t>
    <rPh sb="14" eb="16">
      <t>ネ</t>
    </rPh>
    <phoneticPr fontId="2"/>
  </si>
  <si>
    <t>正法寺山荘跡が国史跡に指定される</t>
    <phoneticPr fontId="2"/>
  </si>
  <si>
    <t>鷲山</t>
    <rPh sb="0" eb="2">
      <t>ワシヤマ</t>
    </rPh>
    <phoneticPr fontId="2"/>
  </si>
  <si>
    <t>正法寺山荘跡</t>
    <phoneticPr fontId="2"/>
  </si>
  <si>
    <t>『鈴鹿関町史』下巻年表
『関町五十周年記念誌』
『亀山市史』考古分野</t>
    <rPh sb="1" eb="3">
      <t>スズカ</t>
    </rPh>
    <rPh sb="3" eb="4">
      <t>セキ</t>
    </rPh>
    <rPh sb="4" eb="6">
      <t>チョウシ</t>
    </rPh>
    <rPh sb="7" eb="9">
      <t>ゲカン</t>
    </rPh>
    <rPh sb="9" eb="10">
      <t>ネン</t>
    </rPh>
    <rPh sb="10" eb="11">
      <t>ヒョウ</t>
    </rPh>
    <rPh sb="24" eb="34">
      <t>カ</t>
    </rPh>
    <phoneticPr fontId="2"/>
  </si>
  <si>
    <t>関町営斎場が竣工</t>
    <rPh sb="0" eb="1">
      <t>セキ</t>
    </rPh>
    <rPh sb="1" eb="3">
      <t>チョウエイ</t>
    </rPh>
    <rPh sb="3" eb="5">
      <t>サイジョウ</t>
    </rPh>
    <rPh sb="6" eb="8">
      <t>シュンコウ</t>
    </rPh>
    <phoneticPr fontId="2"/>
  </si>
  <si>
    <t>関町営斎場</t>
    <phoneticPr fontId="2"/>
  </si>
  <si>
    <t>鹿伏兎城跡が県史跡に指定される</t>
    <rPh sb="0" eb="1">
      <t>シカ</t>
    </rPh>
    <rPh sb="1" eb="2">
      <t>フ</t>
    </rPh>
    <rPh sb="2" eb="3">
      <t>ウサギ</t>
    </rPh>
    <rPh sb="3" eb="5">
      <t>シロアト</t>
    </rPh>
    <rPh sb="6" eb="7">
      <t>ケン</t>
    </rPh>
    <rPh sb="7" eb="9">
      <t>シセキ</t>
    </rPh>
    <rPh sb="10" eb="12">
      <t>シテイ</t>
    </rPh>
    <phoneticPr fontId="2"/>
  </si>
  <si>
    <t>鹿伏兎城跡</t>
    <phoneticPr fontId="2"/>
  </si>
  <si>
    <t>亀山のむかしばなし／おもしろいおはなし／白鷹城</t>
    <rPh sb="0" eb="2">
      <t>カメヤマ</t>
    </rPh>
    <rPh sb="20" eb="22">
      <t>ハクタカ</t>
    </rPh>
    <rPh sb="22" eb="23">
      <t>ジョウ</t>
    </rPh>
    <phoneticPr fontId="2"/>
  </si>
  <si>
    <t>http://kameyamarekihaku.jp/kodomo/w_e_b/hanashi/omoshiroi/page011.html</t>
  </si>
  <si>
    <t>亀山のいいとこさがし／景色のよいところや歴史を知る手掛かりとなるもの／歴史上の場所／鹿伏兎城跡</t>
    <rPh sb="42" eb="45">
      <t>カブト</t>
    </rPh>
    <rPh sb="45" eb="46">
      <t>ジョウ</t>
    </rPh>
    <phoneticPr fontId="2"/>
  </si>
  <si>
    <t>坂下郷土資料館開館</t>
    <rPh sb="0" eb="2">
      <t>サカシタ</t>
    </rPh>
    <rPh sb="2" eb="4">
      <t>キョウド</t>
    </rPh>
    <rPh sb="4" eb="7">
      <t>シリョウカン</t>
    </rPh>
    <rPh sb="7" eb="9">
      <t>カイカン</t>
    </rPh>
    <phoneticPr fontId="2"/>
  </si>
  <si>
    <t>坂下郷土資料館</t>
  </si>
  <si>
    <t>関富士ハイツ、１８０区画を有する住宅団地完成</t>
    <rPh sb="0" eb="1">
      <t>セキ</t>
    </rPh>
    <rPh sb="1" eb="3">
      <t>フジ</t>
    </rPh>
    <rPh sb="10" eb="12">
      <t>クカク</t>
    </rPh>
    <rPh sb="13" eb="14">
      <t>ユウ</t>
    </rPh>
    <rPh sb="16" eb="18">
      <t>ジュウタク</t>
    </rPh>
    <rPh sb="18" eb="20">
      <t>ダンチ</t>
    </rPh>
    <rPh sb="20" eb="22">
      <t>カンセイ</t>
    </rPh>
    <phoneticPr fontId="2"/>
  </si>
  <si>
    <t>関町富士ハイツ</t>
    <rPh sb="0" eb="1">
      <t>セキ</t>
    </rPh>
    <rPh sb="1" eb="2">
      <t>チョウ</t>
    </rPh>
    <rPh sb="2" eb="4">
      <t>フジ</t>
    </rPh>
    <phoneticPr fontId="2"/>
  </si>
  <si>
    <t>富士ハイツ</t>
    <phoneticPr fontId="2"/>
  </si>
  <si>
    <t>関町社会福祉協議会が社会福祉法人として発足</t>
    <rPh sb="0" eb="1">
      <t>セキ</t>
    </rPh>
    <rPh sb="1" eb="2">
      <t>マチ</t>
    </rPh>
    <rPh sb="2" eb="4">
      <t>シャカイ</t>
    </rPh>
    <rPh sb="4" eb="6">
      <t>フクシ</t>
    </rPh>
    <rPh sb="6" eb="9">
      <t>キョウギカイ</t>
    </rPh>
    <rPh sb="10" eb="12">
      <t>シャカイ</t>
    </rPh>
    <rPh sb="12" eb="14">
      <t>フクシ</t>
    </rPh>
    <rPh sb="14" eb="16">
      <t>ホウジン</t>
    </rPh>
    <rPh sb="19" eb="21">
      <t>ホッソク</t>
    </rPh>
    <phoneticPr fontId="2"/>
  </si>
  <si>
    <t>鈴鹿馬子唄保存会設立</t>
    <rPh sb="0" eb="2">
      <t>スズカ</t>
    </rPh>
    <rPh sb="2" eb="5">
      <t>マゴウタ</t>
    </rPh>
    <rPh sb="5" eb="8">
      <t>ホゾンカイ</t>
    </rPh>
    <rPh sb="8" eb="10">
      <t>セツリツ</t>
    </rPh>
    <phoneticPr fontId="2"/>
  </si>
  <si>
    <t>亀山のいいとこさがし／人々がつたえてきたこと／踊りや唄／鈴鹿川・中の川流域のかんこ踊り</t>
    <phoneticPr fontId="2"/>
  </si>
  <si>
    <t>http://kameyamarekihaku.jp/kodomo/w_e_b/iitoko/hitobito/odori/page003.html</t>
  </si>
  <si>
    <t>関宿重要伝統的建造物群保存地区保存計画告知</t>
    <rPh sb="15" eb="17">
      <t>ホゾン</t>
    </rPh>
    <rPh sb="17" eb="19">
      <t>ケイカク</t>
    </rPh>
    <rPh sb="19" eb="21">
      <t>コクチ</t>
    </rPh>
    <phoneticPr fontId="2"/>
  </si>
  <si>
    <t>関町新所・関町中町・関町木崎</t>
    <rPh sb="0" eb="1">
      <t>セキ</t>
    </rPh>
    <rPh sb="1" eb="2">
      <t>チョウ</t>
    </rPh>
    <rPh sb="2" eb="3">
      <t>シン</t>
    </rPh>
    <rPh sb="3" eb="4">
      <t>ショ</t>
    </rPh>
    <rPh sb="5" eb="6">
      <t>セキ</t>
    </rPh>
    <rPh sb="6" eb="7">
      <t>チョウ</t>
    </rPh>
    <rPh sb="7" eb="9">
      <t>ナカマチ</t>
    </rPh>
    <rPh sb="10" eb="11">
      <t>セキ</t>
    </rPh>
    <rPh sb="11" eb="12">
      <t>チョウ</t>
    </rPh>
    <rPh sb="12" eb="13">
      <t>キ</t>
    </rPh>
    <rPh sb="13" eb="14">
      <t>サキ</t>
    </rPh>
    <phoneticPr fontId="2"/>
  </si>
  <si>
    <t>亀山のいいとこさがし／景色のよいところや歴史を知る手掛かりとなるもの／関宿のまちなみ</t>
  </si>
  <si>
    <t>昭和57</t>
  </si>
  <si>
    <t>東北新幹線・上越新幹線が開通する</t>
  </si>
  <si>
    <t>関西本線亀山～名古屋間が電化される。記念乗車客を募り、「亀山市民号」走る</t>
    <rPh sb="18" eb="20">
      <t>キネン</t>
    </rPh>
    <rPh sb="20" eb="22">
      <t>ジョウシャ</t>
    </rPh>
    <rPh sb="22" eb="23">
      <t>キャク</t>
    </rPh>
    <rPh sb="24" eb="25">
      <t>ツノ</t>
    </rPh>
    <rPh sb="28" eb="30">
      <t>カメヤマ</t>
    </rPh>
    <rPh sb="30" eb="32">
      <t>シミン</t>
    </rPh>
    <rPh sb="32" eb="33">
      <t>ゴウ</t>
    </rPh>
    <rPh sb="34" eb="35">
      <t>ハシ</t>
    </rPh>
    <phoneticPr fontId="2"/>
  </si>
  <si>
    <t>関西本線</t>
    <phoneticPr fontId="2"/>
  </si>
  <si>
    <t>亀山市民号プレート</t>
    <rPh sb="0" eb="2">
      <t>カメヤマ</t>
    </rPh>
    <rPh sb="2" eb="4">
      <t>シミン</t>
    </rPh>
    <rPh sb="4" eb="5">
      <t>ゴウ</t>
    </rPh>
    <phoneticPr fontId="2"/>
  </si>
  <si>
    <t>日本の歴史の中の亀山／現代の亀山／交通と通信／鉄道／関西線の複線電化への運動</t>
    <phoneticPr fontId="2"/>
  </si>
  <si>
    <t>『亀山消防の歌』が完成し、出初め式で発表</t>
    <rPh sb="1" eb="3">
      <t>カメヤマ</t>
    </rPh>
    <rPh sb="3" eb="5">
      <t>ショウボウ</t>
    </rPh>
    <rPh sb="6" eb="7">
      <t>ウタ</t>
    </rPh>
    <rPh sb="9" eb="11">
      <t>カンセイ</t>
    </rPh>
    <rPh sb="13" eb="15">
      <t>デゾ</t>
    </rPh>
    <rPh sb="16" eb="17">
      <t>シキ</t>
    </rPh>
    <rPh sb="18" eb="20">
      <t>ハッピョウ</t>
    </rPh>
    <phoneticPr fontId="2"/>
  </si>
  <si>
    <t>旧亀山市名誉市民第３号の映画監督の衣笠貞之助が逝去</t>
    <rPh sb="0" eb="1">
      <t>キュウ</t>
    </rPh>
    <rPh sb="1" eb="4">
      <t>カメヤマシ</t>
    </rPh>
    <rPh sb="4" eb="6">
      <t>メイヨ</t>
    </rPh>
    <rPh sb="6" eb="8">
      <t>シミン</t>
    </rPh>
    <rPh sb="8" eb="9">
      <t>ダイ</t>
    </rPh>
    <rPh sb="10" eb="11">
      <t>ゴウ</t>
    </rPh>
    <rPh sb="12" eb="14">
      <t>エイガ</t>
    </rPh>
    <rPh sb="14" eb="16">
      <t>カントク</t>
    </rPh>
    <rPh sb="17" eb="19">
      <t>キヌガサ</t>
    </rPh>
    <rPh sb="19" eb="20">
      <t>サダ</t>
    </rPh>
    <rPh sb="20" eb="21">
      <t>ノ</t>
    </rPh>
    <rPh sb="21" eb="22">
      <t>スケ</t>
    </rPh>
    <rPh sb="23" eb="25">
      <t>セイキョ</t>
    </rPh>
    <phoneticPr fontId="2"/>
  </si>
  <si>
    <t>児童センター北側に「みゆき児童公園」完成</t>
    <rPh sb="0" eb="2">
      <t>ジドウ</t>
    </rPh>
    <rPh sb="6" eb="8">
      <t>キタガワ</t>
    </rPh>
    <rPh sb="13" eb="15">
      <t>ジドウ</t>
    </rPh>
    <rPh sb="15" eb="17">
      <t>コウエン</t>
    </rPh>
    <rPh sb="18" eb="20">
      <t>カンセイ</t>
    </rPh>
    <phoneticPr fontId="2"/>
  </si>
  <si>
    <t>みゆき児童公園</t>
    <phoneticPr fontId="2"/>
  </si>
  <si>
    <t>『亀山のあゆみ』P.322・年表</t>
    <phoneticPr fontId="2"/>
  </si>
  <si>
    <t>亀山市立亀山南小学校が開校</t>
    <rPh sb="0" eb="4">
      <t>カメヤマシリツ</t>
    </rPh>
    <rPh sb="4" eb="6">
      <t>カメヤマ</t>
    </rPh>
    <rPh sb="6" eb="7">
      <t>ミナミ</t>
    </rPh>
    <rPh sb="7" eb="10">
      <t>ショウガッコウ</t>
    </rPh>
    <rPh sb="11" eb="13">
      <t>カイコウ</t>
    </rPh>
    <phoneticPr fontId="2"/>
  </si>
  <si>
    <t>天神町</t>
    <rPh sb="0" eb="2">
      <t>テンジン</t>
    </rPh>
    <rPh sb="2" eb="3">
      <t>チョウ</t>
    </rPh>
    <phoneticPr fontId="2"/>
  </si>
  <si>
    <t>亀山南小学校</t>
    <phoneticPr fontId="2"/>
  </si>
  <si>
    <t>学校のあゆみ／亀山南小学校のれきし</t>
    <rPh sb="9" eb="10">
      <t>ミナミ</t>
    </rPh>
    <phoneticPr fontId="2"/>
  </si>
  <si>
    <t>http://kameyamarekihaku.jp/kodomo/w_e_b/ayumi/page006.html</t>
  </si>
  <si>
    <t>『亀山のあゆみ』P.397・年表</t>
    <phoneticPr fontId="2"/>
  </si>
  <si>
    <t>障害者作業所「つくしの家」が市社会福祉センター内にオープン</t>
    <rPh sb="0" eb="3">
      <t>ショウガイシャ</t>
    </rPh>
    <rPh sb="3" eb="5">
      <t>サギョウ</t>
    </rPh>
    <rPh sb="5" eb="6">
      <t>ショ</t>
    </rPh>
    <rPh sb="11" eb="12">
      <t>イエ</t>
    </rPh>
    <rPh sb="14" eb="15">
      <t>シ</t>
    </rPh>
    <rPh sb="15" eb="17">
      <t>シャカイ</t>
    </rPh>
    <rPh sb="17" eb="19">
      <t>フクシ</t>
    </rPh>
    <rPh sb="23" eb="24">
      <t>ナイ</t>
    </rPh>
    <phoneticPr fontId="2"/>
  </si>
  <si>
    <t>障害者作業所「つくしの家」</t>
    <phoneticPr fontId="2"/>
  </si>
  <si>
    <t>イートピア亀山住宅団地を「みずほ台」と地名決定</t>
    <rPh sb="5" eb="7">
      <t>カメヤマ</t>
    </rPh>
    <rPh sb="7" eb="9">
      <t>ジュウタク</t>
    </rPh>
    <rPh sb="9" eb="11">
      <t>ダンチ</t>
    </rPh>
    <rPh sb="16" eb="17">
      <t>ダイ</t>
    </rPh>
    <rPh sb="19" eb="21">
      <t>チメイ</t>
    </rPh>
    <rPh sb="21" eb="23">
      <t>ケッテイ</t>
    </rPh>
    <phoneticPr fontId="2"/>
  </si>
  <si>
    <t>みずほ台</t>
    <rPh sb="3" eb="4">
      <t>ダイ</t>
    </rPh>
    <phoneticPr fontId="2"/>
  </si>
  <si>
    <t>みずほ台団地</t>
    <rPh sb="4" eb="6">
      <t>ダンチ</t>
    </rPh>
    <phoneticPr fontId="2"/>
  </si>
  <si>
    <t>市立図書館で婦人ボランティアによる「読み聞かせの会」が始まる</t>
    <rPh sb="0" eb="2">
      <t>シリツ</t>
    </rPh>
    <rPh sb="2" eb="5">
      <t>トショカン</t>
    </rPh>
    <rPh sb="6" eb="8">
      <t>フジン</t>
    </rPh>
    <rPh sb="18" eb="19">
      <t>ヨ</t>
    </rPh>
    <rPh sb="20" eb="21">
      <t>キ</t>
    </rPh>
    <rPh sb="24" eb="25">
      <t>カイ</t>
    </rPh>
    <rPh sb="27" eb="28">
      <t>ハジ</t>
    </rPh>
    <phoneticPr fontId="2"/>
  </si>
  <si>
    <t>亀山市図書館</t>
    <rPh sb="0" eb="3">
      <t>カメヤマシ</t>
    </rPh>
    <rPh sb="3" eb="6">
      <t>トショカン</t>
    </rPh>
    <phoneticPr fontId="2"/>
  </si>
  <si>
    <t>日本の歴史の中の亀山／現代の亀山／教育と医療・福祉／図書館</t>
    <phoneticPr fontId="2"/>
  </si>
  <si>
    <t>『亀山のあゆみ』P.427・年表</t>
    <phoneticPr fontId="2"/>
  </si>
  <si>
    <t>亀山警察署新庁舎が野村町国道一号線沿い南側に完成し、移転</t>
    <rPh sb="0" eb="2">
      <t>カメヤマ</t>
    </rPh>
    <rPh sb="2" eb="5">
      <t>ケイサツショ</t>
    </rPh>
    <rPh sb="5" eb="8">
      <t>シンチョウシャ</t>
    </rPh>
    <rPh sb="9" eb="11">
      <t>ノムラ</t>
    </rPh>
    <rPh sb="11" eb="12">
      <t>マチ</t>
    </rPh>
    <rPh sb="12" eb="14">
      <t>コクドウ</t>
    </rPh>
    <rPh sb="14" eb="17">
      <t>イチゴウセン</t>
    </rPh>
    <rPh sb="17" eb="18">
      <t>ソ</t>
    </rPh>
    <rPh sb="19" eb="21">
      <t>ミナミガワ</t>
    </rPh>
    <rPh sb="22" eb="24">
      <t>カンセイ</t>
    </rPh>
    <rPh sb="26" eb="28">
      <t>イテン</t>
    </rPh>
    <phoneticPr fontId="2"/>
  </si>
  <si>
    <t>亀山警察署</t>
    <phoneticPr fontId="2"/>
  </si>
  <si>
    <t>東追分・西追分が県史跡に指定される</t>
    <rPh sb="0" eb="1">
      <t>ヒガシ</t>
    </rPh>
    <rPh sb="1" eb="3">
      <t>オイワケ</t>
    </rPh>
    <rPh sb="4" eb="5">
      <t>ニシ</t>
    </rPh>
    <rPh sb="5" eb="7">
      <t>オイワケ</t>
    </rPh>
    <rPh sb="8" eb="9">
      <t>ケン</t>
    </rPh>
    <rPh sb="9" eb="11">
      <t>シセキ</t>
    </rPh>
    <rPh sb="12" eb="14">
      <t>シテイ</t>
    </rPh>
    <phoneticPr fontId="2"/>
  </si>
  <si>
    <t>関町新所・関町木崎</t>
    <rPh sb="0" eb="2">
      <t>セキチョウ</t>
    </rPh>
    <rPh sb="2" eb="3">
      <t>シン</t>
    </rPh>
    <rPh sb="3" eb="4">
      <t>ショ</t>
    </rPh>
    <rPh sb="5" eb="7">
      <t>セキチョウ</t>
    </rPh>
    <rPh sb="7" eb="9">
      <t>キザキ</t>
    </rPh>
    <phoneticPr fontId="2"/>
  </si>
  <si>
    <t>東追分・西追分</t>
    <phoneticPr fontId="2"/>
  </si>
  <si>
    <t>亀山のいいとこさがし／景色のよいところや歴史を知る手掛かりとなるもの／関宿のまちなみ／新所のまちなみ／東追分</t>
    <rPh sb="43" eb="45">
      <t>シンジョ</t>
    </rPh>
    <rPh sb="51" eb="52">
      <t>ヒガシ</t>
    </rPh>
    <rPh sb="52" eb="54">
      <t>オイワケ</t>
    </rPh>
    <phoneticPr fontId="2"/>
  </si>
  <si>
    <t>http://kameyamarekihaku.jp/kodomo/w_e_b/iitoko/tegakari/machinami/kozaki/page003.html</t>
  </si>
  <si>
    <t>亀山のいいとこさがし／景色のよいところや歴史を知る手掛かりとなるもの／関宿のまちなみ／木崎のまちなみ／西追分</t>
    <rPh sb="43" eb="45">
      <t>キザキ</t>
    </rPh>
    <rPh sb="51" eb="52">
      <t>ニシ</t>
    </rPh>
    <rPh sb="52" eb="54">
      <t>オイワケ</t>
    </rPh>
    <phoneticPr fontId="2"/>
  </si>
  <si>
    <t>http://kameyamarekihaku.jp/kodomo/w_e_b/iitoko/tegakari/machinami/shinjo/page001.html</t>
  </si>
  <si>
    <t>泉ヶ丘児童公園竣工式挙行</t>
    <rPh sb="0" eb="1">
      <t>イズミ</t>
    </rPh>
    <rPh sb="2" eb="3">
      <t>オカ</t>
    </rPh>
    <rPh sb="3" eb="5">
      <t>ジドウ</t>
    </rPh>
    <rPh sb="5" eb="7">
      <t>コウエン</t>
    </rPh>
    <rPh sb="7" eb="9">
      <t>シュンコウ</t>
    </rPh>
    <rPh sb="9" eb="10">
      <t>シキ</t>
    </rPh>
    <rPh sb="10" eb="12">
      <t>キョコウ</t>
    </rPh>
    <phoneticPr fontId="2"/>
  </si>
  <si>
    <t>泉ヶ丘児童公園</t>
    <phoneticPr fontId="2"/>
  </si>
  <si>
    <t>鷲山橋竣工、渡り初め式挙行、これにより泉ヶ丘・鷲山線全線開通</t>
    <rPh sb="0" eb="2">
      <t>ワシヤマ</t>
    </rPh>
    <rPh sb="2" eb="3">
      <t>ハシ</t>
    </rPh>
    <rPh sb="3" eb="5">
      <t>シュンコウ</t>
    </rPh>
    <rPh sb="6" eb="7">
      <t>ワタ</t>
    </rPh>
    <rPh sb="8" eb="9">
      <t>ゾ</t>
    </rPh>
    <rPh sb="10" eb="11">
      <t>シキ</t>
    </rPh>
    <rPh sb="11" eb="13">
      <t>キョコウ</t>
    </rPh>
    <rPh sb="19" eb="20">
      <t>イズミ</t>
    </rPh>
    <rPh sb="21" eb="22">
      <t>オカ</t>
    </rPh>
    <rPh sb="23" eb="25">
      <t>ワシヤマ</t>
    </rPh>
    <rPh sb="25" eb="26">
      <t>セン</t>
    </rPh>
    <rPh sb="26" eb="28">
      <t>ゼンセン</t>
    </rPh>
    <rPh sb="28" eb="30">
      <t>カイツウ</t>
    </rPh>
    <phoneticPr fontId="2"/>
  </si>
  <si>
    <t>関町木崎・関町鷲山</t>
    <rPh sb="0" eb="1">
      <t>セキ</t>
    </rPh>
    <rPh sb="1" eb="2">
      <t>チョウ</t>
    </rPh>
    <rPh sb="2" eb="3">
      <t>キ</t>
    </rPh>
    <rPh sb="3" eb="4">
      <t>サキ</t>
    </rPh>
    <rPh sb="5" eb="6">
      <t>セキ</t>
    </rPh>
    <rPh sb="6" eb="7">
      <t>チョウ</t>
    </rPh>
    <rPh sb="8" eb="9">
      <t>ヤマ</t>
    </rPh>
    <phoneticPr fontId="2"/>
  </si>
  <si>
    <t>鷲山橋</t>
    <phoneticPr fontId="2"/>
  </si>
  <si>
    <t>関町消防団が昭和５７年度三重県消防操法大会で優勝（ポンプ自動車の部）</t>
    <rPh sb="0" eb="2">
      <t>セキチョウ</t>
    </rPh>
    <rPh sb="2" eb="5">
      <t>ショウボウダン</t>
    </rPh>
    <rPh sb="6" eb="8">
      <t>ショウワ</t>
    </rPh>
    <rPh sb="10" eb="12">
      <t>ネンド</t>
    </rPh>
    <rPh sb="12" eb="15">
      <t>ミエケン</t>
    </rPh>
    <rPh sb="15" eb="17">
      <t>ショウボウ</t>
    </rPh>
    <rPh sb="17" eb="18">
      <t>アヤツ</t>
    </rPh>
    <rPh sb="18" eb="19">
      <t>ホウ</t>
    </rPh>
    <rPh sb="19" eb="21">
      <t>タイカイ</t>
    </rPh>
    <rPh sb="22" eb="24">
      <t>ユウショウ</t>
    </rPh>
    <rPh sb="28" eb="31">
      <t>ジドウシャ</t>
    </rPh>
    <rPh sb="32" eb="33">
      <t>ブ</t>
    </rPh>
    <phoneticPr fontId="2"/>
  </si>
  <si>
    <t>昭和58</t>
  </si>
  <si>
    <t>東御幸町地内の関西本線・紀勢本線の踏切、無人自動化となる</t>
    <rPh sb="0" eb="1">
      <t>ヒガシ</t>
    </rPh>
    <rPh sb="1" eb="2">
      <t>ミ</t>
    </rPh>
    <rPh sb="2" eb="3">
      <t>ユキ</t>
    </rPh>
    <rPh sb="3" eb="4">
      <t>マチ</t>
    </rPh>
    <rPh sb="4" eb="5">
      <t>チ</t>
    </rPh>
    <rPh sb="5" eb="6">
      <t>ナイ</t>
    </rPh>
    <rPh sb="7" eb="9">
      <t>カンサイ</t>
    </rPh>
    <rPh sb="9" eb="11">
      <t>ホンセン</t>
    </rPh>
    <rPh sb="12" eb="14">
      <t>キセイ</t>
    </rPh>
    <rPh sb="14" eb="16">
      <t>ホンセン</t>
    </rPh>
    <rPh sb="17" eb="19">
      <t>フミキリ</t>
    </rPh>
    <rPh sb="20" eb="22">
      <t>ムジン</t>
    </rPh>
    <rPh sb="22" eb="25">
      <t>ジドウカ</t>
    </rPh>
    <phoneticPr fontId="2"/>
  </si>
  <si>
    <t>白川地区北集会所が白川小の東隣に完成</t>
    <rPh sb="0" eb="2">
      <t>シラカワ</t>
    </rPh>
    <rPh sb="2" eb="4">
      <t>チク</t>
    </rPh>
    <rPh sb="4" eb="5">
      <t>キタ</t>
    </rPh>
    <rPh sb="5" eb="7">
      <t>シュウカイ</t>
    </rPh>
    <rPh sb="7" eb="8">
      <t>ジョ</t>
    </rPh>
    <rPh sb="9" eb="11">
      <t>シラカワ</t>
    </rPh>
    <rPh sb="11" eb="12">
      <t>ショウ</t>
    </rPh>
    <rPh sb="13" eb="14">
      <t>ヒガシ</t>
    </rPh>
    <rPh sb="14" eb="15">
      <t>トナリ</t>
    </rPh>
    <rPh sb="16" eb="18">
      <t>カンセイ</t>
    </rPh>
    <phoneticPr fontId="2"/>
  </si>
  <si>
    <t>白川地区北集会所</t>
    <phoneticPr fontId="2"/>
  </si>
  <si>
    <t>元連絡所跡地に白川南集会所が完成</t>
    <rPh sb="0" eb="1">
      <t>モト</t>
    </rPh>
    <rPh sb="1" eb="3">
      <t>レンラク</t>
    </rPh>
    <rPh sb="3" eb="4">
      <t>ショ</t>
    </rPh>
    <rPh sb="4" eb="5">
      <t>アト</t>
    </rPh>
    <rPh sb="5" eb="6">
      <t>チ</t>
    </rPh>
    <rPh sb="7" eb="9">
      <t>シラカワ</t>
    </rPh>
    <rPh sb="9" eb="10">
      <t>ミナミ</t>
    </rPh>
    <rPh sb="10" eb="12">
      <t>シュウカイ</t>
    </rPh>
    <rPh sb="12" eb="13">
      <t>ジョ</t>
    </rPh>
    <rPh sb="14" eb="16">
      <t>カンセイ</t>
    </rPh>
    <phoneticPr fontId="2"/>
  </si>
  <si>
    <t>白川南集会所</t>
    <phoneticPr fontId="2"/>
  </si>
  <si>
    <t>西野公園北駐車場完成</t>
    <rPh sb="0" eb="2">
      <t>ニシノ</t>
    </rPh>
    <rPh sb="2" eb="4">
      <t>コウエン</t>
    </rPh>
    <rPh sb="4" eb="5">
      <t>キタ</t>
    </rPh>
    <rPh sb="5" eb="7">
      <t>チュウシャ</t>
    </rPh>
    <rPh sb="7" eb="8">
      <t>バ</t>
    </rPh>
    <rPh sb="8" eb="10">
      <t>カンセイ</t>
    </rPh>
    <phoneticPr fontId="2"/>
  </si>
  <si>
    <t>市福祉センター東側に増築し、心身障害者作業所「つくしの家」完成</t>
    <rPh sb="0" eb="1">
      <t>シ</t>
    </rPh>
    <rPh sb="1" eb="3">
      <t>フクシ</t>
    </rPh>
    <rPh sb="7" eb="9">
      <t>ヒガシガワ</t>
    </rPh>
    <rPh sb="10" eb="12">
      <t>ゾウチク</t>
    </rPh>
    <rPh sb="14" eb="16">
      <t>シンシン</t>
    </rPh>
    <rPh sb="16" eb="19">
      <t>ショウガイシャ</t>
    </rPh>
    <rPh sb="19" eb="21">
      <t>サギョウ</t>
    </rPh>
    <rPh sb="21" eb="22">
      <t>ショ</t>
    </rPh>
    <rPh sb="27" eb="28">
      <t>イエ</t>
    </rPh>
    <rPh sb="29" eb="31">
      <t>カンセイ</t>
    </rPh>
    <phoneticPr fontId="2"/>
  </si>
  <si>
    <t>心身障害者作業所「つくしの家」</t>
    <phoneticPr fontId="2"/>
  </si>
  <si>
    <t>和賀の城南高校跡地に徳風学園三重高等商業専修学校・三重高等英語専修学校が開校</t>
    <rPh sb="0" eb="2">
      <t>ワガ</t>
    </rPh>
    <rPh sb="3" eb="5">
      <t>ジョウナン</t>
    </rPh>
    <rPh sb="5" eb="7">
      <t>コウコウ</t>
    </rPh>
    <rPh sb="7" eb="9">
      <t>アトチ</t>
    </rPh>
    <rPh sb="10" eb="12">
      <t>トクフウ</t>
    </rPh>
    <rPh sb="12" eb="14">
      <t>ガクエン</t>
    </rPh>
    <rPh sb="14" eb="16">
      <t>ミエ</t>
    </rPh>
    <rPh sb="16" eb="18">
      <t>コウトウ</t>
    </rPh>
    <rPh sb="18" eb="20">
      <t>ショウギョウ</t>
    </rPh>
    <rPh sb="20" eb="22">
      <t>センシュウ</t>
    </rPh>
    <rPh sb="22" eb="24">
      <t>ガッコウ</t>
    </rPh>
    <rPh sb="25" eb="27">
      <t>ミエ</t>
    </rPh>
    <rPh sb="27" eb="29">
      <t>コウトウ</t>
    </rPh>
    <rPh sb="29" eb="31">
      <t>エイゴ</t>
    </rPh>
    <rPh sb="31" eb="33">
      <t>センシュウ</t>
    </rPh>
    <rPh sb="33" eb="35">
      <t>ガッコウ</t>
    </rPh>
    <rPh sb="36" eb="38">
      <t>カイコウ</t>
    </rPh>
    <phoneticPr fontId="2"/>
  </si>
  <si>
    <t>徳風学園</t>
  </si>
  <si>
    <t>『亀山のあゆみ』P.417・年表</t>
    <phoneticPr fontId="2"/>
  </si>
  <si>
    <t>近世亀山藩大庄屋記録「九々五集」解読・編集委員を委嘱
発刊まで27回会合</t>
    <rPh sb="0" eb="2">
      <t>キンセイ</t>
    </rPh>
    <rPh sb="2" eb="4">
      <t>カメヤマ</t>
    </rPh>
    <rPh sb="4" eb="5">
      <t>ハン</t>
    </rPh>
    <rPh sb="5" eb="6">
      <t>オオ</t>
    </rPh>
    <rPh sb="6" eb="8">
      <t>ショウヤ</t>
    </rPh>
    <rPh sb="8" eb="10">
      <t>キロク</t>
    </rPh>
    <rPh sb="11" eb="12">
      <t>ク</t>
    </rPh>
    <rPh sb="13" eb="14">
      <t>ゴ</t>
    </rPh>
    <rPh sb="14" eb="15">
      <t>シュウ</t>
    </rPh>
    <rPh sb="16" eb="18">
      <t>カイドク</t>
    </rPh>
    <rPh sb="19" eb="21">
      <t>ヘンシュウ</t>
    </rPh>
    <rPh sb="21" eb="23">
      <t>イイン</t>
    </rPh>
    <rPh sb="24" eb="26">
      <t>イショク</t>
    </rPh>
    <rPh sb="27" eb="29">
      <t>ハッカン</t>
    </rPh>
    <rPh sb="33" eb="34">
      <t>カイ</t>
    </rPh>
    <rPh sb="34" eb="36">
      <t>カイゴウ</t>
    </rPh>
    <phoneticPr fontId="2"/>
  </si>
  <si>
    <t>「九々五集(半田写本)」</t>
  </si>
  <si>
    <t>１0月10日、中庄町の於々奈気神社で社務所改築を記念して、18年振りにかんこ踊り復活</t>
    <rPh sb="2" eb="3">
      <t>ガツ</t>
    </rPh>
    <rPh sb="5" eb="6">
      <t>ニチ</t>
    </rPh>
    <rPh sb="7" eb="10">
      <t>ナカノショウチョウ</t>
    </rPh>
    <rPh sb="11" eb="12">
      <t>オ</t>
    </rPh>
    <rPh sb="18" eb="21">
      <t>シャムショ</t>
    </rPh>
    <rPh sb="21" eb="23">
      <t>カイチク</t>
    </rPh>
    <rPh sb="24" eb="26">
      <t>キネン</t>
    </rPh>
    <rPh sb="31" eb="32">
      <t>ネン</t>
    </rPh>
    <rPh sb="32" eb="33">
      <t>フ</t>
    </rPh>
    <rPh sb="38" eb="39">
      <t>オド</t>
    </rPh>
    <rPh sb="40" eb="42">
      <t>フッカツ</t>
    </rPh>
    <phoneticPr fontId="2"/>
  </si>
  <si>
    <t>中庄町</t>
    <phoneticPr fontId="2"/>
  </si>
  <si>
    <t>於々奈気神社</t>
    <phoneticPr fontId="2"/>
  </si>
  <si>
    <t>むかしから伝わる祭りや行事／かんこおどり（たいこおどり）</t>
    <rPh sb="5" eb="6">
      <t>ツタ</t>
    </rPh>
    <rPh sb="8" eb="9">
      <t>マツ</t>
    </rPh>
    <rPh sb="11" eb="13">
      <t>ギョウジ</t>
    </rPh>
    <phoneticPr fontId="2"/>
  </si>
  <si>
    <t>http://kameyamarekihaku.jp/kodomo/w_e_b/matsuri/page005.html</t>
  </si>
  <si>
    <t>亀山のいいとこさがし／人々がつたえてきたこと／踊りや唄／鈴鹿川・中の川流域のかんこ踊り</t>
    <rPh sb="11" eb="13">
      <t>ヒトビト</t>
    </rPh>
    <rPh sb="23" eb="24">
      <t>オド</t>
    </rPh>
    <rPh sb="26" eb="27">
      <t>ウタ</t>
    </rPh>
    <rPh sb="28" eb="30">
      <t>スズカ</t>
    </rPh>
    <rPh sb="30" eb="31">
      <t>ガワ</t>
    </rPh>
    <rPh sb="32" eb="33">
      <t>ナカ</t>
    </rPh>
    <rPh sb="34" eb="35">
      <t>ガワ</t>
    </rPh>
    <rPh sb="35" eb="37">
      <t>リュウイキ</t>
    </rPh>
    <rPh sb="41" eb="42">
      <t>オド</t>
    </rPh>
    <phoneticPr fontId="2"/>
  </si>
  <si>
    <t>言語学者の服部四郎東大名誉教授が旧亀山市名誉市民第４号となる。
東町出身、75歳。58年11月に文化勲章を受章</t>
    <rPh sb="16" eb="17">
      <t>キュウ</t>
    </rPh>
    <rPh sb="17" eb="20">
      <t>カメヤマシ</t>
    </rPh>
    <rPh sb="20" eb="22">
      <t>メイヨ</t>
    </rPh>
    <rPh sb="22" eb="24">
      <t>シミン</t>
    </rPh>
    <rPh sb="24" eb="25">
      <t>ダイ</t>
    </rPh>
    <rPh sb="26" eb="27">
      <t>ゴウ</t>
    </rPh>
    <rPh sb="32" eb="33">
      <t>ヒガシ</t>
    </rPh>
    <rPh sb="33" eb="34">
      <t>マチ</t>
    </rPh>
    <rPh sb="34" eb="36">
      <t>シュッシン</t>
    </rPh>
    <rPh sb="39" eb="40">
      <t>サイ</t>
    </rPh>
    <rPh sb="43" eb="44">
      <t>ネン</t>
    </rPh>
    <rPh sb="46" eb="47">
      <t>ガツ</t>
    </rPh>
    <rPh sb="48" eb="50">
      <t>ブンカ</t>
    </rPh>
    <rPh sb="50" eb="52">
      <t>クンショウ</t>
    </rPh>
    <rPh sb="53" eb="55">
      <t>ジュショウ</t>
    </rPh>
    <phoneticPr fontId="2"/>
  </si>
  <si>
    <t>服部四郎</t>
    <phoneticPr fontId="2"/>
  </si>
  <si>
    <t>『亀山のあゆみ』年表P.163・年表</t>
    <rPh sb="16" eb="18">
      <t>ネ</t>
    </rPh>
    <phoneticPr fontId="2"/>
  </si>
  <si>
    <t>亀山地域（亀山・関）の救急医療情報システムがスタート</t>
    <rPh sb="0" eb="2">
      <t>カメヤマ</t>
    </rPh>
    <rPh sb="2" eb="4">
      <t>チイキ</t>
    </rPh>
    <rPh sb="5" eb="7">
      <t>カメヤマ</t>
    </rPh>
    <rPh sb="8" eb="9">
      <t>セキ</t>
    </rPh>
    <rPh sb="11" eb="13">
      <t>キュウキュウ</t>
    </rPh>
    <rPh sb="13" eb="15">
      <t>イリョウ</t>
    </rPh>
    <rPh sb="15" eb="17">
      <t>ジョウホウ</t>
    </rPh>
    <phoneticPr fontId="2"/>
  </si>
  <si>
    <t>亀山地域（亀山・関）の救急医療情報システム</t>
    <phoneticPr fontId="2"/>
  </si>
  <si>
    <t>紀勢本線下庄駅が無人化となる</t>
    <rPh sb="0" eb="2">
      <t>キセイ</t>
    </rPh>
    <rPh sb="2" eb="4">
      <t>ホンセン</t>
    </rPh>
    <rPh sb="4" eb="7">
      <t>シモノショウエキ</t>
    </rPh>
    <rPh sb="8" eb="11">
      <t>ムジンカ</t>
    </rPh>
    <phoneticPr fontId="2"/>
  </si>
  <si>
    <t>下庄駅</t>
    <phoneticPr fontId="2"/>
  </si>
  <si>
    <t>中の山パイロット茶園完成</t>
    <phoneticPr fontId="2"/>
  </si>
  <si>
    <t>中の山パイロット茶園</t>
    <phoneticPr fontId="2"/>
  </si>
  <si>
    <t>『亀山のあゆみ』</t>
    <phoneticPr fontId="2"/>
  </si>
  <si>
    <t>関勤労者体育センター竣工</t>
    <rPh sb="0" eb="1">
      <t>セキ</t>
    </rPh>
    <rPh sb="1" eb="3">
      <t>キンロウ</t>
    </rPh>
    <rPh sb="3" eb="4">
      <t>シャ</t>
    </rPh>
    <rPh sb="4" eb="6">
      <t>タイイク</t>
    </rPh>
    <rPh sb="10" eb="12">
      <t>シュンコウ</t>
    </rPh>
    <phoneticPr fontId="2"/>
  </si>
  <si>
    <t>関勤労者体育センター</t>
    <phoneticPr fontId="2"/>
  </si>
  <si>
    <t>関・加太駅駅員無人化となる（乗車券は商工会が委託発売）</t>
    <rPh sb="0" eb="1">
      <t>セキ</t>
    </rPh>
    <rPh sb="2" eb="4">
      <t>カブト</t>
    </rPh>
    <rPh sb="4" eb="5">
      <t>エキ</t>
    </rPh>
    <rPh sb="5" eb="7">
      <t>エキイン</t>
    </rPh>
    <rPh sb="7" eb="10">
      <t>ムジンカ</t>
    </rPh>
    <rPh sb="14" eb="17">
      <t>ジョウシャケン</t>
    </rPh>
    <rPh sb="18" eb="21">
      <t>ショウコウカイ</t>
    </rPh>
    <rPh sb="22" eb="24">
      <t>イタク</t>
    </rPh>
    <rPh sb="24" eb="26">
      <t>ハツバイ</t>
    </rPh>
    <phoneticPr fontId="2"/>
  </si>
  <si>
    <t>関町新所・加太市場</t>
    <rPh sb="0" eb="1">
      <t>セキ</t>
    </rPh>
    <rPh sb="1" eb="2">
      <t>チョウ</t>
    </rPh>
    <rPh sb="2" eb="3">
      <t>シン</t>
    </rPh>
    <rPh sb="3" eb="4">
      <t>ショ</t>
    </rPh>
    <rPh sb="5" eb="7">
      <t>カブト</t>
    </rPh>
    <rPh sb="7" eb="9">
      <t>イチバ</t>
    </rPh>
    <phoneticPr fontId="2"/>
  </si>
  <si>
    <t>関駅・加太駅</t>
    <rPh sb="1" eb="2">
      <t>エキ</t>
    </rPh>
    <phoneticPr fontId="2"/>
  </si>
  <si>
    <t>関町新庁舎竣工、１１月１日事務開始</t>
    <rPh sb="0" eb="2">
      <t>セキチョウ</t>
    </rPh>
    <rPh sb="2" eb="5">
      <t>シンチョウシャ</t>
    </rPh>
    <rPh sb="5" eb="7">
      <t>シュンコウ</t>
    </rPh>
    <rPh sb="10" eb="11">
      <t>ガツ</t>
    </rPh>
    <rPh sb="12" eb="13">
      <t>ニチ</t>
    </rPh>
    <rPh sb="13" eb="15">
      <t>ジム</t>
    </rPh>
    <rPh sb="15" eb="17">
      <t>カイシ</t>
    </rPh>
    <phoneticPr fontId="2"/>
  </si>
  <si>
    <t>関町庁舎</t>
    <phoneticPr fontId="2"/>
  </si>
  <si>
    <t>亀山市関支所</t>
    <rPh sb="0" eb="3">
      <t>カメヤマシ</t>
    </rPh>
    <rPh sb="3" eb="4">
      <t>セキ</t>
    </rPh>
    <rPh sb="4" eb="6">
      <t>シショ</t>
    </rPh>
    <phoneticPr fontId="2"/>
  </si>
  <si>
    <t>昭和59</t>
  </si>
  <si>
    <t>両尾町平尾地区にテレビ共同受信施設が完成</t>
    <rPh sb="0" eb="3">
      <t>フタオチョウ</t>
    </rPh>
    <rPh sb="3" eb="5">
      <t>ヒラオ</t>
    </rPh>
    <rPh sb="5" eb="7">
      <t>チク</t>
    </rPh>
    <rPh sb="11" eb="13">
      <t>キョウドウ</t>
    </rPh>
    <rPh sb="13" eb="15">
      <t>ジュシン</t>
    </rPh>
    <rPh sb="15" eb="17">
      <t>シセツ</t>
    </rPh>
    <rPh sb="18" eb="20">
      <t>カンセイ</t>
    </rPh>
    <phoneticPr fontId="2"/>
  </si>
  <si>
    <t>両尾町</t>
    <phoneticPr fontId="2"/>
  </si>
  <si>
    <t>栄町の市営と畜場が廃止
年間と殺件数は50年の3941頭をピークに年々減り、施設も老朽化し運営に支障があるため廃止
ちなみに、58年度のと殺数は牛238頭、豚1102頭</t>
    <rPh sb="0" eb="1">
      <t>サカエ</t>
    </rPh>
    <rPh sb="1" eb="2">
      <t>マチ</t>
    </rPh>
    <rPh sb="3" eb="5">
      <t>シエイ</t>
    </rPh>
    <rPh sb="6" eb="7">
      <t>チク</t>
    </rPh>
    <rPh sb="7" eb="8">
      <t>バ</t>
    </rPh>
    <rPh sb="9" eb="11">
      <t>ハイシ</t>
    </rPh>
    <rPh sb="12" eb="14">
      <t>ネンカン</t>
    </rPh>
    <rPh sb="15" eb="16">
      <t>サツ</t>
    </rPh>
    <rPh sb="16" eb="17">
      <t>クダン</t>
    </rPh>
    <rPh sb="17" eb="18">
      <t>カズ</t>
    </rPh>
    <rPh sb="21" eb="22">
      <t>ネン</t>
    </rPh>
    <rPh sb="27" eb="28">
      <t>トウ</t>
    </rPh>
    <rPh sb="33" eb="35">
      <t>ネンネン</t>
    </rPh>
    <rPh sb="35" eb="36">
      <t>ヘ</t>
    </rPh>
    <rPh sb="38" eb="40">
      <t>シセツ</t>
    </rPh>
    <rPh sb="41" eb="44">
      <t>ロウキュウカ</t>
    </rPh>
    <rPh sb="45" eb="47">
      <t>ウンエイ</t>
    </rPh>
    <rPh sb="48" eb="50">
      <t>シショウ</t>
    </rPh>
    <rPh sb="55" eb="57">
      <t>ハイシ</t>
    </rPh>
    <rPh sb="65" eb="66">
      <t>ネン</t>
    </rPh>
    <rPh sb="66" eb="67">
      <t>ド</t>
    </rPh>
    <rPh sb="69" eb="70">
      <t>コロ</t>
    </rPh>
    <rPh sb="70" eb="71">
      <t>カズ</t>
    </rPh>
    <rPh sb="72" eb="73">
      <t>ウシ</t>
    </rPh>
    <rPh sb="76" eb="77">
      <t>トウ</t>
    </rPh>
    <rPh sb="78" eb="79">
      <t>ブタ</t>
    </rPh>
    <rPh sb="83" eb="84">
      <t>トウ</t>
    </rPh>
    <phoneticPr fontId="2"/>
  </si>
  <si>
    <t>栄町</t>
    <phoneticPr fontId="2"/>
  </si>
  <si>
    <t>市営と畜場</t>
    <phoneticPr fontId="2"/>
  </si>
  <si>
    <t>『亀山のあゆみ』P.313・年表</t>
    <phoneticPr fontId="2"/>
  </si>
  <si>
    <t>東御幸町に市文化会館完成</t>
    <rPh sb="0" eb="1">
      <t>ヒガシ</t>
    </rPh>
    <rPh sb="1" eb="3">
      <t>ミユキ</t>
    </rPh>
    <rPh sb="3" eb="4">
      <t>マチ</t>
    </rPh>
    <rPh sb="5" eb="6">
      <t>シ</t>
    </rPh>
    <rPh sb="6" eb="8">
      <t>ブンカ</t>
    </rPh>
    <rPh sb="8" eb="10">
      <t>カイカン</t>
    </rPh>
    <rPh sb="10" eb="12">
      <t>カンセイ</t>
    </rPh>
    <phoneticPr fontId="2"/>
  </si>
  <si>
    <t>亀山市文化会館</t>
    <rPh sb="0" eb="2">
      <t>カメヤマ</t>
    </rPh>
    <phoneticPr fontId="2"/>
  </si>
  <si>
    <t>『亀山のあゆみ』P.431・年表</t>
    <phoneticPr fontId="2"/>
  </si>
  <si>
    <t>44年5月から実施の日曜窓口を廃止
事業所の週休二日制実施などで利用者が減ったため（旧亀山市）</t>
    <rPh sb="2" eb="3">
      <t>ネン</t>
    </rPh>
    <rPh sb="4" eb="5">
      <t>ガツ</t>
    </rPh>
    <rPh sb="7" eb="9">
      <t>ジッシ</t>
    </rPh>
    <rPh sb="10" eb="12">
      <t>ニチヨウ</t>
    </rPh>
    <rPh sb="12" eb="14">
      <t>マドグチ</t>
    </rPh>
    <rPh sb="15" eb="17">
      <t>ハイシ</t>
    </rPh>
    <rPh sb="18" eb="21">
      <t>ジギョウショ</t>
    </rPh>
    <rPh sb="22" eb="24">
      <t>シュウキュウ</t>
    </rPh>
    <rPh sb="24" eb="26">
      <t>フツカ</t>
    </rPh>
    <rPh sb="26" eb="27">
      <t>セイ</t>
    </rPh>
    <rPh sb="27" eb="29">
      <t>ジッシ</t>
    </rPh>
    <rPh sb="32" eb="35">
      <t>リヨウシャ</t>
    </rPh>
    <rPh sb="36" eb="37">
      <t>ヘ</t>
    </rPh>
    <rPh sb="42" eb="43">
      <t>キュウ</t>
    </rPh>
    <rPh sb="43" eb="46">
      <t>カメヤマシ</t>
    </rPh>
    <phoneticPr fontId="2"/>
  </si>
  <si>
    <t>初の試みとして、広報かめやま7月上旬号をカラー印刷</t>
    <rPh sb="0" eb="1">
      <t>ハツ</t>
    </rPh>
    <rPh sb="2" eb="3">
      <t>ココロ</t>
    </rPh>
    <rPh sb="8" eb="10">
      <t>コウホウ</t>
    </rPh>
    <rPh sb="15" eb="16">
      <t>ガツ</t>
    </rPh>
    <rPh sb="16" eb="18">
      <t>ジョウジュン</t>
    </rPh>
    <rPh sb="18" eb="19">
      <t>ゴウ</t>
    </rPh>
    <rPh sb="23" eb="25">
      <t>インサツ</t>
    </rPh>
    <phoneticPr fontId="2"/>
  </si>
  <si>
    <t>東御幸町の市文化会館落成式</t>
    <rPh sb="0" eb="1">
      <t>ヒガシ</t>
    </rPh>
    <rPh sb="1" eb="3">
      <t>ミユキ</t>
    </rPh>
    <rPh sb="3" eb="4">
      <t>マチ</t>
    </rPh>
    <rPh sb="5" eb="6">
      <t>シ</t>
    </rPh>
    <rPh sb="6" eb="8">
      <t>ブンカ</t>
    </rPh>
    <rPh sb="8" eb="10">
      <t>カイカン</t>
    </rPh>
    <rPh sb="10" eb="12">
      <t>ラクセイ</t>
    </rPh>
    <rPh sb="12" eb="13">
      <t>シキ</t>
    </rPh>
    <phoneticPr fontId="2"/>
  </si>
  <si>
    <t>市制施行30周年式典を市文化会館で開く
映画「わたしたちのまち亀山市」上映、心形刀流武芸形の披露、市勢要覧、「亀山のあゆみ」、広報特集号を配布など</t>
    <rPh sb="0" eb="2">
      <t>シセイ</t>
    </rPh>
    <rPh sb="2" eb="4">
      <t>シコウ</t>
    </rPh>
    <rPh sb="6" eb="8">
      <t>シュウネン</t>
    </rPh>
    <rPh sb="8" eb="10">
      <t>シキテン</t>
    </rPh>
    <rPh sb="11" eb="12">
      <t>シ</t>
    </rPh>
    <rPh sb="12" eb="14">
      <t>ブンカ</t>
    </rPh>
    <rPh sb="14" eb="16">
      <t>カイカン</t>
    </rPh>
    <rPh sb="17" eb="18">
      <t>ヒラ</t>
    </rPh>
    <rPh sb="20" eb="22">
      <t>エイガ</t>
    </rPh>
    <rPh sb="31" eb="34">
      <t>カメヤマシ</t>
    </rPh>
    <rPh sb="35" eb="37">
      <t>ジョウエイ</t>
    </rPh>
    <rPh sb="38" eb="39">
      <t>ココロ</t>
    </rPh>
    <rPh sb="39" eb="40">
      <t>カタチ</t>
    </rPh>
    <rPh sb="40" eb="41">
      <t>カタナ</t>
    </rPh>
    <rPh sb="41" eb="42">
      <t>リュウ</t>
    </rPh>
    <rPh sb="42" eb="44">
      <t>ブゲイ</t>
    </rPh>
    <rPh sb="44" eb="45">
      <t>カタ</t>
    </rPh>
    <rPh sb="46" eb="48">
      <t>ヒロウ</t>
    </rPh>
    <rPh sb="49" eb="51">
      <t>シセイ</t>
    </rPh>
    <rPh sb="51" eb="53">
      <t>ヨウラン</t>
    </rPh>
    <rPh sb="55" eb="57">
      <t>カメヤマ</t>
    </rPh>
    <rPh sb="63" eb="65">
      <t>コウホウ</t>
    </rPh>
    <rPh sb="65" eb="68">
      <t>トクシュウゴウ</t>
    </rPh>
    <rPh sb="69" eb="71">
      <t>ハイフ</t>
    </rPh>
    <phoneticPr fontId="2"/>
  </si>
  <si>
    <t>亀山のいいとこさがし／人々がつたえてきたこと／技や仕事／心形刀流武芸形</t>
    <phoneticPr fontId="2"/>
  </si>
  <si>
    <t>阿野田町鹿島地区の220戸、市内初の住居表示で「南鹿島町」「北鹿島町」となる</t>
    <rPh sb="0" eb="4">
      <t>アノダチョウ</t>
    </rPh>
    <rPh sb="4" eb="6">
      <t>カシマ</t>
    </rPh>
    <rPh sb="6" eb="8">
      <t>チク</t>
    </rPh>
    <rPh sb="12" eb="13">
      <t>コ</t>
    </rPh>
    <rPh sb="14" eb="16">
      <t>シナイ</t>
    </rPh>
    <rPh sb="16" eb="17">
      <t>ハツ</t>
    </rPh>
    <rPh sb="18" eb="20">
      <t>ジュウキョ</t>
    </rPh>
    <rPh sb="20" eb="22">
      <t>ヒョウジ</t>
    </rPh>
    <rPh sb="24" eb="25">
      <t>ミナミ</t>
    </rPh>
    <rPh sb="25" eb="27">
      <t>カシマ</t>
    </rPh>
    <rPh sb="27" eb="28">
      <t>マチ</t>
    </rPh>
    <rPh sb="30" eb="31">
      <t>キタ</t>
    </rPh>
    <rPh sb="31" eb="33">
      <t>カシマ</t>
    </rPh>
    <rPh sb="33" eb="34">
      <t>マチ</t>
    </rPh>
    <phoneticPr fontId="2"/>
  </si>
  <si>
    <t>南鹿島町
北鹿島町</t>
    <phoneticPr fontId="2"/>
  </si>
  <si>
    <t>東御幸町に亀山スイミングスクール開校</t>
    <rPh sb="0" eb="1">
      <t>ヒガシ</t>
    </rPh>
    <rPh sb="1" eb="3">
      <t>ミユキ</t>
    </rPh>
    <rPh sb="3" eb="4">
      <t>マチ</t>
    </rPh>
    <rPh sb="5" eb="7">
      <t>カメヤマ</t>
    </rPh>
    <rPh sb="16" eb="18">
      <t>カイコウ</t>
    </rPh>
    <phoneticPr fontId="2"/>
  </si>
  <si>
    <t>東御幸町</t>
  </si>
  <si>
    <t>亀山スイミングスクール</t>
    <phoneticPr fontId="2"/>
  </si>
  <si>
    <t>市制30周年記念誌「亀山のあゆみ」300部を販売する</t>
    <rPh sb="0" eb="2">
      <t>シセイ</t>
    </rPh>
    <rPh sb="4" eb="6">
      <t>シュウネン</t>
    </rPh>
    <rPh sb="6" eb="8">
      <t>キネン</t>
    </rPh>
    <rPh sb="8" eb="9">
      <t>シ</t>
    </rPh>
    <rPh sb="10" eb="12">
      <t>カメヤマ</t>
    </rPh>
    <rPh sb="20" eb="21">
      <t>ブ</t>
    </rPh>
    <rPh sb="22" eb="24">
      <t>ハンバイ</t>
    </rPh>
    <phoneticPr fontId="2"/>
  </si>
  <si>
    <t>国道一号鈴鹿峠バイパス第二期工事完成</t>
    <rPh sb="0" eb="2">
      <t>コクドウ</t>
    </rPh>
    <rPh sb="2" eb="4">
      <t>イチゴウ</t>
    </rPh>
    <rPh sb="4" eb="6">
      <t>スズカ</t>
    </rPh>
    <rPh sb="6" eb="7">
      <t>トウゲ</t>
    </rPh>
    <rPh sb="11" eb="12">
      <t>ダイ</t>
    </rPh>
    <rPh sb="12" eb="14">
      <t>ニキ</t>
    </rPh>
    <rPh sb="14" eb="16">
      <t>コウジ</t>
    </rPh>
    <rPh sb="16" eb="18">
      <t>カンセイ</t>
    </rPh>
    <phoneticPr fontId="2"/>
  </si>
  <si>
    <t>国道一号鈴鹿峠バイパス</t>
  </si>
  <si>
    <t>『鈴鹿関町史』下巻年表</t>
  </si>
  <si>
    <t>関ロッジに関町営結婚式場完成</t>
    <rPh sb="0" eb="1">
      <t>セキ</t>
    </rPh>
    <rPh sb="5" eb="6">
      <t>セキ</t>
    </rPh>
    <rPh sb="6" eb="7">
      <t>マチ</t>
    </rPh>
    <rPh sb="7" eb="8">
      <t>エイ</t>
    </rPh>
    <rPh sb="8" eb="11">
      <t>ケッコンシキ</t>
    </rPh>
    <rPh sb="11" eb="12">
      <t>バ</t>
    </rPh>
    <rPh sb="12" eb="14">
      <t>カンセイ</t>
    </rPh>
    <phoneticPr fontId="2"/>
  </si>
  <si>
    <t>関ロッジ</t>
    <phoneticPr fontId="2"/>
  </si>
  <si>
    <t>関町歴史民俗資料館開館（新所の田中稲蔵家）</t>
    <rPh sb="0" eb="2">
      <t>セキチョウ</t>
    </rPh>
    <rPh sb="2" eb="4">
      <t>レキシ</t>
    </rPh>
    <rPh sb="4" eb="6">
      <t>ミンゾク</t>
    </rPh>
    <rPh sb="6" eb="9">
      <t>シリョウカン</t>
    </rPh>
    <rPh sb="9" eb="11">
      <t>カイカン</t>
    </rPh>
    <rPh sb="12" eb="13">
      <t>シン</t>
    </rPh>
    <rPh sb="13" eb="14">
      <t>ショ</t>
    </rPh>
    <rPh sb="15" eb="17">
      <t>タナカ</t>
    </rPh>
    <rPh sb="17" eb="18">
      <t>イネ</t>
    </rPh>
    <rPh sb="18" eb="19">
      <t>クラ</t>
    </rPh>
    <rPh sb="19" eb="20">
      <t>イエ</t>
    </rPh>
    <phoneticPr fontId="2"/>
  </si>
  <si>
    <t>関町歴史民俗資料館</t>
    <phoneticPr fontId="2"/>
  </si>
  <si>
    <t>関宿重要伝統的建造物群保存地区が選定される</t>
    <phoneticPr fontId="2"/>
  </si>
  <si>
    <t>『亀山のあゆみ』
『関町五十周年記念誌』
『亀山市史』通史　近代現代</t>
    <rPh sb="21" eb="34">
      <t>ツ</t>
    </rPh>
    <phoneticPr fontId="2"/>
  </si>
  <si>
    <t>林道北在家・中津川線開通</t>
    <rPh sb="0" eb="2">
      <t>リンドウ</t>
    </rPh>
    <rPh sb="2" eb="3">
      <t>キタ</t>
    </rPh>
    <rPh sb="3" eb="5">
      <t>ザイケ</t>
    </rPh>
    <rPh sb="6" eb="9">
      <t>ナカツガワ</t>
    </rPh>
    <rPh sb="9" eb="10">
      <t>セン</t>
    </rPh>
    <rPh sb="10" eb="12">
      <t>カイツウ</t>
    </rPh>
    <phoneticPr fontId="2"/>
  </si>
  <si>
    <t>昭和59</t>
    <rPh sb="0" eb="2">
      <t>ショウワ</t>
    </rPh>
    <phoneticPr fontId="2"/>
  </si>
  <si>
    <t>旧関町役場跡に関郵便局が完成</t>
    <rPh sb="0" eb="1">
      <t>キュウ</t>
    </rPh>
    <rPh sb="1" eb="3">
      <t>セキチョウ</t>
    </rPh>
    <rPh sb="3" eb="5">
      <t>ヤクバ</t>
    </rPh>
    <rPh sb="5" eb="6">
      <t>アト</t>
    </rPh>
    <rPh sb="7" eb="8">
      <t>セキ</t>
    </rPh>
    <rPh sb="8" eb="11">
      <t>ユウビンキョク</t>
    </rPh>
    <rPh sb="12" eb="14">
      <t>カンセイ</t>
    </rPh>
    <phoneticPr fontId="2"/>
  </si>
  <si>
    <t>関町中町</t>
    <rPh sb="0" eb="2">
      <t>セキチョウ</t>
    </rPh>
    <rPh sb="2" eb="4">
      <t>ナカマチ</t>
    </rPh>
    <phoneticPr fontId="2"/>
  </si>
  <si>
    <t>関郵便局</t>
  </si>
  <si>
    <t>『関町五十周年記念誌』</t>
    <rPh sb="1" eb="3">
      <t>セキチョウ</t>
    </rPh>
    <rPh sb="3" eb="4">
      <t>ゴ</t>
    </rPh>
    <rPh sb="4" eb="7">
      <t>ジュウシュウネン</t>
    </rPh>
    <rPh sb="7" eb="9">
      <t>キネン</t>
    </rPh>
    <rPh sb="9" eb="10">
      <t>シ</t>
    </rPh>
    <phoneticPr fontId="2"/>
  </si>
  <si>
    <t>昭和60</t>
    <rPh sb="0" eb="2">
      <t>ショウワ</t>
    </rPh>
    <phoneticPr fontId="2"/>
  </si>
  <si>
    <t>男女雇用機会均等法が出される</t>
    <rPh sb="0" eb="2">
      <t>ダンジョ</t>
    </rPh>
    <rPh sb="2" eb="4">
      <t>コヨウ</t>
    </rPh>
    <rPh sb="4" eb="6">
      <t>キカイ</t>
    </rPh>
    <rPh sb="6" eb="9">
      <t>キントウホウ</t>
    </rPh>
    <rPh sb="10" eb="11">
      <t>ダ</t>
    </rPh>
    <phoneticPr fontId="2"/>
  </si>
  <si>
    <t>昭和60</t>
    <phoneticPr fontId="2"/>
  </si>
  <si>
    <t>昭和25年12月市指定文化財の「亀山演武場」焼失</t>
    <rPh sb="0" eb="2">
      <t>ショウワ</t>
    </rPh>
    <rPh sb="4" eb="5">
      <t>ネン</t>
    </rPh>
    <rPh sb="7" eb="8">
      <t>ガツ</t>
    </rPh>
    <rPh sb="8" eb="9">
      <t>シ</t>
    </rPh>
    <rPh sb="9" eb="11">
      <t>シテイ</t>
    </rPh>
    <rPh sb="11" eb="14">
      <t>ブンカザイ</t>
    </rPh>
    <rPh sb="16" eb="18">
      <t>カメヤマ</t>
    </rPh>
    <rPh sb="18" eb="20">
      <t>エンブ</t>
    </rPh>
    <rPh sb="20" eb="21">
      <t>バ</t>
    </rPh>
    <rPh sb="22" eb="24">
      <t>ショウシツ</t>
    </rPh>
    <phoneticPr fontId="2"/>
  </si>
  <si>
    <t>亀山演武場</t>
    <phoneticPr fontId="2"/>
  </si>
  <si>
    <t>『亀山のあゆみ』P.451・年表</t>
    <phoneticPr fontId="2"/>
  </si>
  <si>
    <t>市立図書館の北側に文化財収蔵庫完成</t>
    <rPh sb="0" eb="2">
      <t>シリツ</t>
    </rPh>
    <rPh sb="2" eb="5">
      <t>トショカン</t>
    </rPh>
    <rPh sb="6" eb="8">
      <t>キタガワ</t>
    </rPh>
    <rPh sb="9" eb="12">
      <t>ブンカザイ</t>
    </rPh>
    <rPh sb="12" eb="15">
      <t>シュウゾウコ</t>
    </rPh>
    <rPh sb="15" eb="17">
      <t>カンセイ</t>
    </rPh>
    <phoneticPr fontId="2"/>
  </si>
  <si>
    <t>文化財収蔵庫</t>
  </si>
  <si>
    <t>下庄町本郷に農村公園完成</t>
    <rPh sb="0" eb="3">
      <t>シモノショウチョウ</t>
    </rPh>
    <rPh sb="3" eb="5">
      <t>ホンゴウ</t>
    </rPh>
    <rPh sb="6" eb="8">
      <t>ノウソン</t>
    </rPh>
    <rPh sb="8" eb="10">
      <t>コウエン</t>
    </rPh>
    <rPh sb="10" eb="12">
      <t>カンセイ</t>
    </rPh>
    <phoneticPr fontId="2"/>
  </si>
  <si>
    <t>農村公園</t>
    <phoneticPr fontId="2"/>
  </si>
  <si>
    <t>『亀山のあゆみ』P.324・年表</t>
    <phoneticPr fontId="2"/>
  </si>
  <si>
    <t>昭和60</t>
    <phoneticPr fontId="2"/>
  </si>
  <si>
    <t>昭和12年、亀田町に設立された県茶業センターが椿世町に新築移転
事務所は一時、地区集会所に使われたが、平成元年9月末に取り壊す</t>
    <rPh sb="0" eb="2">
      <t>ショウワ</t>
    </rPh>
    <rPh sb="4" eb="5">
      <t>ネン</t>
    </rPh>
    <rPh sb="6" eb="9">
      <t>カメダマチ</t>
    </rPh>
    <rPh sb="10" eb="12">
      <t>セツリツ</t>
    </rPh>
    <rPh sb="15" eb="16">
      <t>ケン</t>
    </rPh>
    <rPh sb="16" eb="17">
      <t>チャ</t>
    </rPh>
    <rPh sb="17" eb="18">
      <t>ギョウ</t>
    </rPh>
    <rPh sb="23" eb="26">
      <t>ツバイソチョウ</t>
    </rPh>
    <rPh sb="27" eb="29">
      <t>シンチク</t>
    </rPh>
    <rPh sb="29" eb="31">
      <t>イテン</t>
    </rPh>
    <rPh sb="32" eb="34">
      <t>ジム</t>
    </rPh>
    <rPh sb="34" eb="35">
      <t>ショ</t>
    </rPh>
    <rPh sb="36" eb="38">
      <t>イチジ</t>
    </rPh>
    <rPh sb="39" eb="41">
      <t>チク</t>
    </rPh>
    <rPh sb="41" eb="43">
      <t>シュウカイ</t>
    </rPh>
    <rPh sb="43" eb="44">
      <t>ショ</t>
    </rPh>
    <rPh sb="45" eb="46">
      <t>ツカ</t>
    </rPh>
    <rPh sb="51" eb="53">
      <t>ヘイセイ</t>
    </rPh>
    <rPh sb="53" eb="55">
      <t>ガンネン</t>
    </rPh>
    <rPh sb="56" eb="57">
      <t>ガツ</t>
    </rPh>
    <rPh sb="57" eb="58">
      <t>スエ</t>
    </rPh>
    <rPh sb="59" eb="60">
      <t>ト</t>
    </rPh>
    <rPh sb="61" eb="62">
      <t>コワ</t>
    </rPh>
    <phoneticPr fontId="2"/>
  </si>
  <si>
    <t>椿世町</t>
    <phoneticPr fontId="2"/>
  </si>
  <si>
    <t>県茶業センター</t>
    <phoneticPr fontId="2"/>
  </si>
  <si>
    <t>『亀山のあゆみ』年表
『亀山市史』通史　近代現代</t>
    <rPh sb="11" eb="24">
      <t>ツ</t>
    </rPh>
    <phoneticPr fontId="2"/>
  </si>
  <si>
    <t>市議会本会議で市が「非核平和都市」となることを議決
市同日これを宣言する</t>
    <rPh sb="0" eb="1">
      <t>シ</t>
    </rPh>
    <rPh sb="1" eb="3">
      <t>ギカイ</t>
    </rPh>
    <rPh sb="3" eb="6">
      <t>ホンカイギ</t>
    </rPh>
    <rPh sb="7" eb="8">
      <t>シ</t>
    </rPh>
    <rPh sb="10" eb="12">
      <t>ヒカク</t>
    </rPh>
    <rPh sb="12" eb="14">
      <t>ヘイワ</t>
    </rPh>
    <rPh sb="14" eb="16">
      <t>トシ</t>
    </rPh>
    <rPh sb="23" eb="25">
      <t>ギケツ</t>
    </rPh>
    <rPh sb="26" eb="27">
      <t>シ</t>
    </rPh>
    <rPh sb="27" eb="29">
      <t>ドウジツ</t>
    </rPh>
    <rPh sb="32" eb="34">
      <t>センゲン</t>
    </rPh>
    <phoneticPr fontId="2"/>
  </si>
  <si>
    <t>天神町と阿野田・野村・安知本・田茂の各町の一部（400戸）で新しく住居表示が実施され、天神１～４丁目および和賀町となる</t>
    <rPh sb="0" eb="2">
      <t>テンジン</t>
    </rPh>
    <rPh sb="2" eb="3">
      <t>マチ</t>
    </rPh>
    <rPh sb="4" eb="7">
      <t>アノダ</t>
    </rPh>
    <rPh sb="8" eb="10">
      <t>ノムラ</t>
    </rPh>
    <rPh sb="11" eb="12">
      <t>ヤス</t>
    </rPh>
    <rPh sb="12" eb="13">
      <t>チ</t>
    </rPh>
    <rPh sb="13" eb="14">
      <t>モト</t>
    </rPh>
    <rPh sb="15" eb="17">
      <t>タモ</t>
    </rPh>
    <rPh sb="18" eb="20">
      <t>カクマチ</t>
    </rPh>
    <rPh sb="21" eb="23">
      <t>イチブ</t>
    </rPh>
    <rPh sb="27" eb="28">
      <t>コ</t>
    </rPh>
    <rPh sb="30" eb="31">
      <t>アタラ</t>
    </rPh>
    <rPh sb="33" eb="35">
      <t>ジュウキョ</t>
    </rPh>
    <rPh sb="35" eb="37">
      <t>ヒョウジ</t>
    </rPh>
    <rPh sb="38" eb="40">
      <t>ジッシ</t>
    </rPh>
    <rPh sb="43" eb="45">
      <t>テンジン</t>
    </rPh>
    <rPh sb="48" eb="50">
      <t>チョウメ</t>
    </rPh>
    <rPh sb="53" eb="55">
      <t>ワガ</t>
    </rPh>
    <rPh sb="55" eb="56">
      <t>マチ</t>
    </rPh>
    <phoneticPr fontId="2"/>
  </si>
  <si>
    <t>亀山東・亀山西・亀山南</t>
    <rPh sb="0" eb="2">
      <t>カメヤマ</t>
    </rPh>
    <rPh sb="2" eb="3">
      <t>ヒガシ</t>
    </rPh>
    <rPh sb="4" eb="6">
      <t>カメヤマ</t>
    </rPh>
    <rPh sb="6" eb="7">
      <t>ニシ</t>
    </rPh>
    <rPh sb="8" eb="10">
      <t>カメヤマ</t>
    </rPh>
    <rPh sb="10" eb="11">
      <t>ミナミ</t>
    </rPh>
    <phoneticPr fontId="2"/>
  </si>
  <si>
    <t>エコー南側に百五銀行東御幸町支店が新設開業する</t>
    <rPh sb="3" eb="5">
      <t>ミナミガワ</t>
    </rPh>
    <rPh sb="6" eb="8">
      <t>ヒャクゴ</t>
    </rPh>
    <rPh sb="8" eb="10">
      <t>ギンコウ</t>
    </rPh>
    <rPh sb="10" eb="11">
      <t>ヒガシ</t>
    </rPh>
    <rPh sb="11" eb="13">
      <t>ミユキ</t>
    </rPh>
    <rPh sb="13" eb="14">
      <t>マチ</t>
    </rPh>
    <rPh sb="14" eb="16">
      <t>シテン</t>
    </rPh>
    <rPh sb="17" eb="19">
      <t>シンセツ</t>
    </rPh>
    <rPh sb="19" eb="21">
      <t>カイギョウ</t>
    </rPh>
    <phoneticPr fontId="2"/>
  </si>
  <si>
    <t>百五銀行</t>
  </si>
  <si>
    <t>関町保健センターが完成</t>
    <rPh sb="0" eb="2">
      <t>セキチョウ</t>
    </rPh>
    <rPh sb="2" eb="4">
      <t>ホケン</t>
    </rPh>
    <rPh sb="9" eb="11">
      <t>カンセイ</t>
    </rPh>
    <phoneticPr fontId="2"/>
  </si>
  <si>
    <t>昭和61</t>
    <phoneticPr fontId="2"/>
  </si>
  <si>
    <t>『近世亀山藩大庄屋記録　九々五集』発刊</t>
    <rPh sb="17" eb="19">
      <t>ハッカン</t>
    </rPh>
    <phoneticPr fontId="2"/>
  </si>
  <si>
    <t>『亀山のあゆみ』年表
『九々五集』</t>
    <rPh sb="12" eb="14">
      <t>クク</t>
    </rPh>
    <rPh sb="14" eb="15">
      <t>ゴ</t>
    </rPh>
    <rPh sb="15" eb="16">
      <t>シュウ</t>
    </rPh>
    <phoneticPr fontId="2"/>
  </si>
  <si>
    <t>農業共済事業事務を共同処理するため、鈴鹿市・亀山市・関町で組織する「鈴鹿農業共済事務組合」設立（事務所は鈴鹿市神戸）
この組合の設立により亀山市農業共済組合は62年3月に廃止となる</t>
    <rPh sb="0" eb="2">
      <t>ノウギョウ</t>
    </rPh>
    <rPh sb="2" eb="4">
      <t>キョウサイ</t>
    </rPh>
    <rPh sb="4" eb="6">
      <t>ジギョウ</t>
    </rPh>
    <rPh sb="6" eb="8">
      <t>ジム</t>
    </rPh>
    <rPh sb="9" eb="11">
      <t>キョウドウ</t>
    </rPh>
    <rPh sb="11" eb="13">
      <t>ショリ</t>
    </rPh>
    <rPh sb="18" eb="21">
      <t>スズカシ</t>
    </rPh>
    <rPh sb="22" eb="25">
      <t>カメヤマシ</t>
    </rPh>
    <rPh sb="26" eb="28">
      <t>セキマチ</t>
    </rPh>
    <rPh sb="29" eb="31">
      <t>ソシキ</t>
    </rPh>
    <rPh sb="34" eb="36">
      <t>スズカ</t>
    </rPh>
    <rPh sb="36" eb="38">
      <t>ノウギョウ</t>
    </rPh>
    <rPh sb="38" eb="40">
      <t>キョウサイ</t>
    </rPh>
    <rPh sb="40" eb="42">
      <t>ジム</t>
    </rPh>
    <rPh sb="42" eb="44">
      <t>クミアイ</t>
    </rPh>
    <rPh sb="45" eb="47">
      <t>セツリツ</t>
    </rPh>
    <rPh sb="48" eb="50">
      <t>ジム</t>
    </rPh>
    <rPh sb="50" eb="51">
      <t>ショ</t>
    </rPh>
    <rPh sb="52" eb="55">
      <t>スズカシ</t>
    </rPh>
    <rPh sb="55" eb="57">
      <t>カンベ</t>
    </rPh>
    <rPh sb="61" eb="63">
      <t>クミアイ</t>
    </rPh>
    <rPh sb="64" eb="66">
      <t>セツリツ</t>
    </rPh>
    <rPh sb="69" eb="72">
      <t>カメヤマシ</t>
    </rPh>
    <rPh sb="72" eb="74">
      <t>ノウギョウ</t>
    </rPh>
    <rPh sb="74" eb="76">
      <t>キョウサイ</t>
    </rPh>
    <rPh sb="76" eb="78">
      <t>クミアイ</t>
    </rPh>
    <rPh sb="81" eb="82">
      <t>ネン</t>
    </rPh>
    <rPh sb="83" eb="84">
      <t>ガツ</t>
    </rPh>
    <rPh sb="85" eb="87">
      <t>ハイシ</t>
    </rPh>
    <phoneticPr fontId="2"/>
  </si>
  <si>
    <t>6ヵ月児保育開始
市立では和田と川崎南、私立では第三愛護園と亀山愛児園の４園</t>
    <rPh sb="2" eb="3">
      <t>ゲツ</t>
    </rPh>
    <rPh sb="3" eb="4">
      <t>コ</t>
    </rPh>
    <rPh sb="4" eb="6">
      <t>ホイク</t>
    </rPh>
    <rPh sb="6" eb="8">
      <t>カイシ</t>
    </rPh>
    <rPh sb="9" eb="11">
      <t>シリツ</t>
    </rPh>
    <rPh sb="13" eb="15">
      <t>ワダ</t>
    </rPh>
    <rPh sb="16" eb="18">
      <t>カワサキ</t>
    </rPh>
    <rPh sb="18" eb="19">
      <t>ミナミ</t>
    </rPh>
    <rPh sb="20" eb="21">
      <t>ワタクシ</t>
    </rPh>
    <rPh sb="21" eb="22">
      <t>リツ</t>
    </rPh>
    <rPh sb="24" eb="25">
      <t>ダイ</t>
    </rPh>
    <rPh sb="25" eb="26">
      <t>サン</t>
    </rPh>
    <rPh sb="26" eb="27">
      <t>アイ</t>
    </rPh>
    <rPh sb="27" eb="28">
      <t>マモル</t>
    </rPh>
    <rPh sb="28" eb="29">
      <t>エン</t>
    </rPh>
    <rPh sb="30" eb="32">
      <t>カメヤマ</t>
    </rPh>
    <rPh sb="32" eb="33">
      <t>アイ</t>
    </rPh>
    <rPh sb="33" eb="34">
      <t>ジ</t>
    </rPh>
    <rPh sb="34" eb="35">
      <t>エン</t>
    </rPh>
    <rPh sb="37" eb="38">
      <t>エン</t>
    </rPh>
    <phoneticPr fontId="2"/>
  </si>
  <si>
    <t>井田川・川崎・亀山西</t>
    <rPh sb="0" eb="3">
      <t>イダガワ</t>
    </rPh>
    <rPh sb="4" eb="6">
      <t>カワサキ</t>
    </rPh>
    <rPh sb="7" eb="9">
      <t>カメヤマ</t>
    </rPh>
    <rPh sb="9" eb="10">
      <t>ニシ</t>
    </rPh>
    <phoneticPr fontId="2"/>
  </si>
  <si>
    <t>和田町・長明寺町・南野町・東町</t>
    <rPh sb="0" eb="3">
      <t>ワダチョウ</t>
    </rPh>
    <rPh sb="4" eb="5">
      <t>チョウ</t>
    </rPh>
    <rPh sb="5" eb="6">
      <t>メイ</t>
    </rPh>
    <rPh sb="6" eb="8">
      <t>テラマチ</t>
    </rPh>
    <rPh sb="9" eb="12">
      <t>ミナミノチョウ</t>
    </rPh>
    <rPh sb="13" eb="15">
      <t>ヒガシチョウ</t>
    </rPh>
    <phoneticPr fontId="2"/>
  </si>
  <si>
    <t>和田保育園・川崎南保育園・第三愛護園・亀山愛児園</t>
    <rPh sb="2" eb="5">
      <t>ホイクエン</t>
    </rPh>
    <rPh sb="9" eb="12">
      <t>ホイクエン</t>
    </rPh>
    <phoneticPr fontId="2"/>
  </si>
  <si>
    <t>水道課を水道局に変更、水道管理者を新設、上水・簡水の条例を一本化する</t>
    <rPh sb="0" eb="2">
      <t>スイドウ</t>
    </rPh>
    <rPh sb="2" eb="3">
      <t>カ</t>
    </rPh>
    <rPh sb="4" eb="7">
      <t>スイドウキョク</t>
    </rPh>
    <rPh sb="8" eb="10">
      <t>ヘンコウ</t>
    </rPh>
    <rPh sb="11" eb="13">
      <t>スイドウ</t>
    </rPh>
    <rPh sb="13" eb="16">
      <t>カンリシャ</t>
    </rPh>
    <rPh sb="17" eb="19">
      <t>シンセツ</t>
    </rPh>
    <rPh sb="20" eb="21">
      <t>ウエ</t>
    </rPh>
    <rPh sb="21" eb="22">
      <t>ミズ</t>
    </rPh>
    <rPh sb="23" eb="24">
      <t>カン</t>
    </rPh>
    <rPh sb="24" eb="25">
      <t>ミズ</t>
    </rPh>
    <rPh sb="26" eb="28">
      <t>ジョウレイ</t>
    </rPh>
    <rPh sb="29" eb="32">
      <t>イッポンカ</t>
    </rPh>
    <phoneticPr fontId="2"/>
  </si>
  <si>
    <t>シルバーセンターが発足</t>
    <rPh sb="9" eb="11">
      <t>ホッソク</t>
    </rPh>
    <phoneticPr fontId="2"/>
  </si>
  <si>
    <t>国道1号亀山バイパス建設に伴い、59年より調査中の太岡寺町の大鼻遺跡で、約８千年前の縄文時代早期の土偶が出土</t>
    <rPh sb="0" eb="2">
      <t>コクドウ</t>
    </rPh>
    <rPh sb="3" eb="4">
      <t>ゴウ</t>
    </rPh>
    <rPh sb="4" eb="6">
      <t>カメヤマ</t>
    </rPh>
    <rPh sb="10" eb="12">
      <t>ケンセツ</t>
    </rPh>
    <rPh sb="13" eb="14">
      <t>トモナ</t>
    </rPh>
    <rPh sb="18" eb="19">
      <t>ネン</t>
    </rPh>
    <rPh sb="21" eb="23">
      <t>チョウサ</t>
    </rPh>
    <rPh sb="23" eb="24">
      <t>ナカ</t>
    </rPh>
    <rPh sb="25" eb="29">
      <t>タイコウジチョウ</t>
    </rPh>
    <rPh sb="30" eb="31">
      <t>オオ</t>
    </rPh>
    <rPh sb="31" eb="32">
      <t>ハナ</t>
    </rPh>
    <rPh sb="32" eb="34">
      <t>イセキ</t>
    </rPh>
    <rPh sb="36" eb="37">
      <t>ヤク</t>
    </rPh>
    <rPh sb="38" eb="40">
      <t>センネン</t>
    </rPh>
    <rPh sb="40" eb="41">
      <t>マエ</t>
    </rPh>
    <rPh sb="42" eb="44">
      <t>ジョウモン</t>
    </rPh>
    <rPh sb="44" eb="46">
      <t>ジダイ</t>
    </rPh>
    <rPh sb="46" eb="48">
      <t>ソウキ</t>
    </rPh>
    <rPh sb="49" eb="51">
      <t>ドグウ</t>
    </rPh>
    <rPh sb="52" eb="54">
      <t>シュツド</t>
    </rPh>
    <phoneticPr fontId="2"/>
  </si>
  <si>
    <t>土偶（レプリカ）</t>
    <rPh sb="0" eb="2">
      <t>ドグウ</t>
    </rPh>
    <phoneticPr fontId="2"/>
  </si>
  <si>
    <t>日本の歴史の中の亀山／古代の亀山／亀山のあけぼの／人が住み始めたころの亀山／縄文時代の暮らし／大鼻遺跡</t>
    <rPh sb="47" eb="48">
      <t>オオ</t>
    </rPh>
    <rPh sb="48" eb="49">
      <t>ハナ</t>
    </rPh>
    <rPh sb="49" eb="51">
      <t>イセキ</t>
    </rPh>
    <phoneticPr fontId="2"/>
  </si>
  <si>
    <t>『亀山のあゆみ』年表
『大鼻遺跡』
『亀山市史』考古分野</t>
    <rPh sb="12" eb="14">
      <t>オオハナ</t>
    </rPh>
    <rPh sb="14" eb="16">
      <t>イセキ</t>
    </rPh>
    <rPh sb="18" eb="28">
      <t>カ</t>
    </rPh>
    <phoneticPr fontId="2"/>
  </si>
  <si>
    <t>昭和61</t>
    <phoneticPr fontId="2"/>
  </si>
  <si>
    <t>東丸町の旧市役所跡の鈴鹿農業改良普及所亀山連絡所の事務所が御幸町の市農協指導課内へ移転
明治42年建築の旧庁舎は12月20日に取り壊す</t>
    <rPh sb="0" eb="1">
      <t>ヒガシ</t>
    </rPh>
    <rPh sb="1" eb="2">
      <t>マル</t>
    </rPh>
    <rPh sb="2" eb="3">
      <t>マチ</t>
    </rPh>
    <rPh sb="4" eb="5">
      <t>キュウ</t>
    </rPh>
    <rPh sb="5" eb="8">
      <t>シヤクショ</t>
    </rPh>
    <rPh sb="8" eb="9">
      <t>アト</t>
    </rPh>
    <rPh sb="10" eb="12">
      <t>スズカ</t>
    </rPh>
    <rPh sb="12" eb="14">
      <t>ノウギョウ</t>
    </rPh>
    <rPh sb="14" eb="16">
      <t>カイリョウ</t>
    </rPh>
    <rPh sb="16" eb="18">
      <t>フキュウ</t>
    </rPh>
    <rPh sb="18" eb="19">
      <t>ジョ</t>
    </rPh>
    <rPh sb="19" eb="21">
      <t>カメヤマ</t>
    </rPh>
    <rPh sb="21" eb="23">
      <t>レンラク</t>
    </rPh>
    <rPh sb="23" eb="24">
      <t>ショ</t>
    </rPh>
    <rPh sb="25" eb="27">
      <t>ジム</t>
    </rPh>
    <rPh sb="27" eb="28">
      <t>ショ</t>
    </rPh>
    <rPh sb="29" eb="32">
      <t>ミユキチョウ</t>
    </rPh>
    <rPh sb="33" eb="34">
      <t>シ</t>
    </rPh>
    <rPh sb="34" eb="36">
      <t>ノウキョウ</t>
    </rPh>
    <rPh sb="36" eb="38">
      <t>シドウ</t>
    </rPh>
    <rPh sb="38" eb="39">
      <t>カ</t>
    </rPh>
    <rPh sb="39" eb="40">
      <t>ナイ</t>
    </rPh>
    <rPh sb="41" eb="43">
      <t>イテン</t>
    </rPh>
    <rPh sb="44" eb="46">
      <t>メイジ</t>
    </rPh>
    <rPh sb="48" eb="49">
      <t>ネン</t>
    </rPh>
    <rPh sb="49" eb="51">
      <t>ケンチク</t>
    </rPh>
    <rPh sb="52" eb="53">
      <t>キュウ</t>
    </rPh>
    <rPh sb="53" eb="55">
      <t>チョウシャ</t>
    </rPh>
    <rPh sb="58" eb="59">
      <t>ガツ</t>
    </rPh>
    <rPh sb="61" eb="62">
      <t>ニチ</t>
    </rPh>
    <rPh sb="63" eb="64">
      <t>ト</t>
    </rPh>
    <rPh sb="65" eb="66">
      <t>コワ</t>
    </rPh>
    <phoneticPr fontId="2"/>
  </si>
  <si>
    <t>東丸町</t>
    <phoneticPr fontId="2"/>
  </si>
  <si>
    <t>旧市役所</t>
    <phoneticPr fontId="2"/>
  </si>
  <si>
    <t>市庁舎横に非核平和都市の宣言塔を建てる</t>
    <rPh sb="0" eb="1">
      <t>シ</t>
    </rPh>
    <rPh sb="1" eb="3">
      <t>チョウシャ</t>
    </rPh>
    <rPh sb="3" eb="4">
      <t>ヨコ</t>
    </rPh>
    <rPh sb="5" eb="6">
      <t>ヒ</t>
    </rPh>
    <rPh sb="6" eb="7">
      <t>カク</t>
    </rPh>
    <rPh sb="7" eb="9">
      <t>ヘイワ</t>
    </rPh>
    <rPh sb="9" eb="11">
      <t>トシ</t>
    </rPh>
    <rPh sb="12" eb="14">
      <t>センゲン</t>
    </rPh>
    <rPh sb="14" eb="15">
      <t>トウ</t>
    </rPh>
    <rPh sb="16" eb="17">
      <t>タ</t>
    </rPh>
    <phoneticPr fontId="2"/>
  </si>
  <si>
    <t>非核平和都市の宣言塔</t>
    <phoneticPr fontId="2"/>
  </si>
  <si>
    <t>市内唯一の文芸同人誌「方圓」創刊</t>
    <rPh sb="0" eb="2">
      <t>シナイ</t>
    </rPh>
    <rPh sb="2" eb="4">
      <t>ユイイツ</t>
    </rPh>
    <rPh sb="5" eb="7">
      <t>ブンゲイ</t>
    </rPh>
    <rPh sb="7" eb="9">
      <t>ドウジン</t>
    </rPh>
    <rPh sb="9" eb="10">
      <t>シ</t>
    </rPh>
    <rPh sb="11" eb="12">
      <t>ホウ</t>
    </rPh>
    <rPh sb="12" eb="13">
      <t>エン</t>
    </rPh>
    <rPh sb="14" eb="16">
      <t>ソウカン</t>
    </rPh>
    <phoneticPr fontId="2"/>
  </si>
  <si>
    <t>井尻町、本町、栄町の一部370戸が住居表示され、小下町、上野町、高塚町となる</t>
    <rPh sb="0" eb="2">
      <t>イジリ</t>
    </rPh>
    <rPh sb="2" eb="3">
      <t>マチ</t>
    </rPh>
    <rPh sb="4" eb="6">
      <t>ホンマチ</t>
    </rPh>
    <rPh sb="7" eb="9">
      <t>サカエマチ</t>
    </rPh>
    <rPh sb="10" eb="12">
      <t>イチブ</t>
    </rPh>
    <rPh sb="15" eb="16">
      <t>コ</t>
    </rPh>
    <rPh sb="17" eb="19">
      <t>ジュウキョ</t>
    </rPh>
    <rPh sb="19" eb="21">
      <t>ヒョウジ</t>
    </rPh>
    <rPh sb="24" eb="25">
      <t>コ</t>
    </rPh>
    <rPh sb="25" eb="26">
      <t>シタ</t>
    </rPh>
    <rPh sb="26" eb="27">
      <t>マチ</t>
    </rPh>
    <rPh sb="28" eb="30">
      <t>ウエノ</t>
    </rPh>
    <rPh sb="30" eb="31">
      <t>マチ</t>
    </rPh>
    <rPh sb="32" eb="34">
      <t>タカツカ</t>
    </rPh>
    <rPh sb="34" eb="35">
      <t>マチ</t>
    </rPh>
    <phoneticPr fontId="2"/>
  </si>
  <si>
    <t>小下町
上野町
高塚町</t>
    <rPh sb="0" eb="3">
      <t>コミザチョウ</t>
    </rPh>
    <rPh sb="4" eb="7">
      <t>ウエノチョウ</t>
    </rPh>
    <rPh sb="8" eb="11">
      <t>タカツカチョウ</t>
    </rPh>
    <phoneticPr fontId="2"/>
  </si>
  <si>
    <t>東町２丁目から５丁目の商店街の道路舗装が完成</t>
    <rPh sb="0" eb="2">
      <t>ヒガシマチ</t>
    </rPh>
    <rPh sb="3" eb="5">
      <t>チョウメ</t>
    </rPh>
    <rPh sb="8" eb="10">
      <t>チョウメ</t>
    </rPh>
    <rPh sb="11" eb="13">
      <t>ショウテン</t>
    </rPh>
    <rPh sb="13" eb="14">
      <t>マチ</t>
    </rPh>
    <rPh sb="15" eb="17">
      <t>ドウロ</t>
    </rPh>
    <rPh sb="17" eb="19">
      <t>ホソウ</t>
    </rPh>
    <rPh sb="20" eb="22">
      <t>カンセイ</t>
    </rPh>
    <phoneticPr fontId="2"/>
  </si>
  <si>
    <t>東町商店街</t>
    <rPh sb="0" eb="1">
      <t>ヒガシ</t>
    </rPh>
    <rPh sb="1" eb="2">
      <t>マチ</t>
    </rPh>
    <phoneticPr fontId="2"/>
  </si>
  <si>
    <t>名阪森林パークが完成</t>
    <rPh sb="0" eb="2">
      <t>メイハン</t>
    </rPh>
    <rPh sb="2" eb="4">
      <t>シンリン</t>
    </rPh>
    <rPh sb="8" eb="10">
      <t>カンセイ</t>
    </rPh>
    <phoneticPr fontId="2"/>
  </si>
  <si>
    <t>名阪森林パーク</t>
  </si>
  <si>
    <t>昭和61</t>
    <phoneticPr fontId="2"/>
  </si>
  <si>
    <t>東の追分～西の追分の旧東海道が「日本の道百選」に選ばれる</t>
    <rPh sb="0" eb="1">
      <t>ヒガシ</t>
    </rPh>
    <rPh sb="2" eb="4">
      <t>オイワケ</t>
    </rPh>
    <rPh sb="5" eb="6">
      <t>ニシ</t>
    </rPh>
    <rPh sb="7" eb="9">
      <t>オイワケ</t>
    </rPh>
    <rPh sb="10" eb="11">
      <t>キュウ</t>
    </rPh>
    <rPh sb="11" eb="14">
      <t>トウカイドウ</t>
    </rPh>
    <rPh sb="16" eb="18">
      <t>ニホン</t>
    </rPh>
    <rPh sb="19" eb="20">
      <t>ミチ</t>
    </rPh>
    <rPh sb="20" eb="22">
      <t>ヒャクセン</t>
    </rPh>
    <rPh sb="24" eb="25">
      <t>エラ</t>
    </rPh>
    <phoneticPr fontId="2"/>
  </si>
  <si>
    <t>昭和61</t>
    <phoneticPr fontId="2"/>
  </si>
  <si>
    <t>第一回東海道関宿街道まつり開催</t>
    <rPh sb="0" eb="1">
      <t>ダイ</t>
    </rPh>
    <rPh sb="1" eb="3">
      <t>イッカイ</t>
    </rPh>
    <rPh sb="3" eb="6">
      <t>トウカイドウ</t>
    </rPh>
    <rPh sb="6" eb="7">
      <t>セキ</t>
    </rPh>
    <rPh sb="7" eb="8">
      <t>ヤド</t>
    </rPh>
    <rPh sb="8" eb="10">
      <t>カイドウ</t>
    </rPh>
    <rPh sb="13" eb="15">
      <t>カイサイ</t>
    </rPh>
    <phoneticPr fontId="2"/>
  </si>
  <si>
    <t>亀山のいいとこさがし／景色のよいところや歴史を知る手掛かりとなるもの／関宿のまちなみ</t>
    <phoneticPr fontId="2"/>
  </si>
  <si>
    <t>昭和62</t>
    <phoneticPr fontId="2"/>
  </si>
  <si>
    <t>菅内町樺野地区に公民館完成</t>
    <rPh sb="0" eb="3">
      <t>スガウチチョウ</t>
    </rPh>
    <rPh sb="3" eb="4">
      <t>カバ</t>
    </rPh>
    <rPh sb="4" eb="5">
      <t>ノ</t>
    </rPh>
    <rPh sb="5" eb="7">
      <t>チク</t>
    </rPh>
    <rPh sb="8" eb="11">
      <t>コウミンカン</t>
    </rPh>
    <rPh sb="11" eb="13">
      <t>カンセイ</t>
    </rPh>
    <phoneticPr fontId="2"/>
  </si>
  <si>
    <t>菅内町</t>
    <phoneticPr fontId="2"/>
  </si>
  <si>
    <t>樺野公民館</t>
    <rPh sb="2" eb="5">
      <t>コウミンカン</t>
    </rPh>
    <phoneticPr fontId="2"/>
  </si>
  <si>
    <t>天神４丁目に南地区集会所完成</t>
    <rPh sb="0" eb="2">
      <t>テンジン</t>
    </rPh>
    <rPh sb="3" eb="5">
      <t>チョウメ</t>
    </rPh>
    <rPh sb="6" eb="7">
      <t>ミナミ</t>
    </rPh>
    <rPh sb="7" eb="9">
      <t>チク</t>
    </rPh>
    <rPh sb="9" eb="11">
      <t>シュウカイ</t>
    </rPh>
    <rPh sb="11" eb="12">
      <t>ジョ</t>
    </rPh>
    <rPh sb="12" eb="14">
      <t>カンセイ</t>
    </rPh>
    <phoneticPr fontId="2"/>
  </si>
  <si>
    <t>天神</t>
    <phoneticPr fontId="2"/>
  </si>
  <si>
    <t>南地区集会所</t>
    <phoneticPr fontId="2"/>
  </si>
  <si>
    <t>3月末で修了の東町商店街近代化事業完成記念式典を行う</t>
    <rPh sb="1" eb="2">
      <t>ガツ</t>
    </rPh>
    <rPh sb="2" eb="3">
      <t>マツ</t>
    </rPh>
    <rPh sb="4" eb="6">
      <t>シュウリョウ</t>
    </rPh>
    <rPh sb="7" eb="8">
      <t>ヒガシ</t>
    </rPh>
    <rPh sb="8" eb="9">
      <t>マチ</t>
    </rPh>
    <rPh sb="9" eb="11">
      <t>ショウテン</t>
    </rPh>
    <rPh sb="11" eb="12">
      <t>マチ</t>
    </rPh>
    <rPh sb="12" eb="15">
      <t>キンダイカ</t>
    </rPh>
    <rPh sb="15" eb="17">
      <t>ジギョウ</t>
    </rPh>
    <rPh sb="17" eb="19">
      <t>カンセイ</t>
    </rPh>
    <rPh sb="19" eb="21">
      <t>キネン</t>
    </rPh>
    <rPh sb="21" eb="23">
      <t>シキテン</t>
    </rPh>
    <rPh sb="24" eb="25">
      <t>オコナ</t>
    </rPh>
    <phoneticPr fontId="2"/>
  </si>
  <si>
    <t>日本の歴史の中の亀山／現代の亀山／産業／商業／商店街</t>
    <rPh sb="20" eb="26">
      <t>ショウギョウ・ショウテンガイ</t>
    </rPh>
    <phoneticPr fontId="2"/>
  </si>
  <si>
    <t>『亀山のあゆみ』年表
『亀山市史』通史　近代現代</t>
    <rPh sb="11" eb="24">
      <t>ゲ</t>
    </rPh>
    <phoneticPr fontId="2"/>
  </si>
  <si>
    <t>亀田町の正知浦遺跡で、室町時代前期の住居跡を発掘</t>
    <rPh sb="0" eb="2">
      <t>カメダ</t>
    </rPh>
    <rPh sb="2" eb="3">
      <t>マチ</t>
    </rPh>
    <rPh sb="4" eb="5">
      <t>マサ</t>
    </rPh>
    <rPh sb="5" eb="6">
      <t>チ</t>
    </rPh>
    <rPh sb="6" eb="7">
      <t>ウラ</t>
    </rPh>
    <rPh sb="7" eb="9">
      <t>イセキ</t>
    </rPh>
    <rPh sb="11" eb="13">
      <t>ムロマチ</t>
    </rPh>
    <rPh sb="13" eb="15">
      <t>ジダイ</t>
    </rPh>
    <rPh sb="15" eb="17">
      <t>ゼンキ</t>
    </rPh>
    <rPh sb="18" eb="20">
      <t>ジュウキョ</t>
    </rPh>
    <rPh sb="20" eb="21">
      <t>アト</t>
    </rPh>
    <rPh sb="22" eb="24">
      <t>ハックツ</t>
    </rPh>
    <phoneticPr fontId="2"/>
  </si>
  <si>
    <t>亀田町</t>
    <phoneticPr fontId="2"/>
  </si>
  <si>
    <t>『亀山のあゆみ』年表
『上椎木古墳・谷山古墳・正知浦古墳群・正知浦遺跡』
『亀山市史』考古分野</t>
    <rPh sb="12" eb="13">
      <t>カミ</t>
    </rPh>
    <rPh sb="13" eb="14">
      <t>シイ</t>
    </rPh>
    <rPh sb="14" eb="15">
      <t>キ</t>
    </rPh>
    <rPh sb="15" eb="17">
      <t>コフン</t>
    </rPh>
    <rPh sb="18" eb="20">
      <t>タニヤマ</t>
    </rPh>
    <rPh sb="20" eb="22">
      <t>コフン</t>
    </rPh>
    <rPh sb="23" eb="24">
      <t>ショウ</t>
    </rPh>
    <rPh sb="24" eb="25">
      <t>チ</t>
    </rPh>
    <rPh sb="25" eb="26">
      <t>ウラ</t>
    </rPh>
    <rPh sb="26" eb="29">
      <t>コフングン</t>
    </rPh>
    <rPh sb="30" eb="31">
      <t>ショウ</t>
    </rPh>
    <rPh sb="31" eb="32">
      <t>チ</t>
    </rPh>
    <rPh sb="32" eb="33">
      <t>ウラ</t>
    </rPh>
    <rPh sb="33" eb="35">
      <t>イセキ</t>
    </rPh>
    <rPh sb="37" eb="47">
      <t>カ</t>
    </rPh>
    <phoneticPr fontId="2"/>
  </si>
  <si>
    <t>昭和62</t>
    <phoneticPr fontId="2"/>
  </si>
  <si>
    <t>市まちづくり推進委員会発足（旧亀山市）</t>
    <rPh sb="0" eb="1">
      <t>シ</t>
    </rPh>
    <rPh sb="6" eb="8">
      <t>スイシン</t>
    </rPh>
    <rPh sb="8" eb="11">
      <t>イインカイ</t>
    </rPh>
    <rPh sb="11" eb="13">
      <t>ホッソク</t>
    </rPh>
    <rPh sb="14" eb="15">
      <t>キュウ</t>
    </rPh>
    <rPh sb="15" eb="18">
      <t>カメヤマシ</t>
    </rPh>
    <phoneticPr fontId="2"/>
  </si>
  <si>
    <t>市老人短期入所（ショートステイ）事業発足</t>
    <rPh sb="0" eb="1">
      <t>シ</t>
    </rPh>
    <rPh sb="1" eb="3">
      <t>ロウジン</t>
    </rPh>
    <rPh sb="3" eb="5">
      <t>タンキ</t>
    </rPh>
    <rPh sb="5" eb="7">
      <t>ニュウショ</t>
    </rPh>
    <rPh sb="16" eb="18">
      <t>ジギョウ</t>
    </rPh>
    <rPh sb="18" eb="20">
      <t>ホッソク</t>
    </rPh>
    <phoneticPr fontId="2"/>
  </si>
  <si>
    <t>昭和35年建設の市民会館は、利用申し込み6月20日で締め切り廃止する
建物は12月20日に解体、跡地は亀山公園テニスコートとして平成元年3月整備</t>
    <rPh sb="0" eb="2">
      <t>ショウワ</t>
    </rPh>
    <rPh sb="4" eb="5">
      <t>ネン</t>
    </rPh>
    <rPh sb="5" eb="7">
      <t>ケンセツ</t>
    </rPh>
    <rPh sb="8" eb="10">
      <t>シミン</t>
    </rPh>
    <rPh sb="10" eb="12">
      <t>カイカン</t>
    </rPh>
    <rPh sb="14" eb="16">
      <t>リヨウ</t>
    </rPh>
    <rPh sb="16" eb="17">
      <t>モウ</t>
    </rPh>
    <rPh sb="18" eb="19">
      <t>コ</t>
    </rPh>
    <rPh sb="21" eb="22">
      <t>ガツ</t>
    </rPh>
    <rPh sb="24" eb="25">
      <t>ニチ</t>
    </rPh>
    <rPh sb="26" eb="27">
      <t>シ</t>
    </rPh>
    <rPh sb="28" eb="29">
      <t>キ</t>
    </rPh>
    <rPh sb="30" eb="32">
      <t>ハイシ</t>
    </rPh>
    <rPh sb="35" eb="37">
      <t>タテモノ</t>
    </rPh>
    <rPh sb="40" eb="41">
      <t>ガツ</t>
    </rPh>
    <rPh sb="43" eb="44">
      <t>ニチ</t>
    </rPh>
    <rPh sb="45" eb="47">
      <t>カイタイ</t>
    </rPh>
    <rPh sb="48" eb="50">
      <t>アトチ</t>
    </rPh>
    <rPh sb="51" eb="53">
      <t>カメヤマ</t>
    </rPh>
    <rPh sb="53" eb="55">
      <t>コウエン</t>
    </rPh>
    <rPh sb="64" eb="66">
      <t>ヘイセイ</t>
    </rPh>
    <rPh sb="66" eb="68">
      <t>ガンネン</t>
    </rPh>
    <rPh sb="69" eb="70">
      <t>ガツ</t>
    </rPh>
    <rPh sb="70" eb="72">
      <t>セイビ</t>
    </rPh>
    <phoneticPr fontId="2"/>
  </si>
  <si>
    <t>西丸町</t>
    <rPh sb="0" eb="1">
      <t>ニシ</t>
    </rPh>
    <phoneticPr fontId="2"/>
  </si>
  <si>
    <t>旧市民会館</t>
    <rPh sb="0" eb="1">
      <t>キュウ</t>
    </rPh>
    <phoneticPr fontId="2"/>
  </si>
  <si>
    <t>日本の歴史の中の亀山／現代の亀山／教育と医療・福祉／亀山市民会館と関町民会館</t>
    <rPh sb="26" eb="30">
      <t>カメヤマシミン</t>
    </rPh>
    <rPh sb="30" eb="32">
      <t>カイカン</t>
    </rPh>
    <rPh sb="33" eb="34">
      <t>セキ</t>
    </rPh>
    <rPh sb="34" eb="36">
      <t>チョウミン</t>
    </rPh>
    <rPh sb="36" eb="38">
      <t>カイカン</t>
    </rPh>
    <phoneticPr fontId="2"/>
  </si>
  <si>
    <t>『亀山のあゆみ』P.434・年表</t>
    <phoneticPr fontId="2"/>
  </si>
  <si>
    <t>みどり町に北伊勢信用金庫亀山支店井田川出張所が開業</t>
    <rPh sb="3" eb="4">
      <t>マチ</t>
    </rPh>
    <rPh sb="5" eb="6">
      <t>キタ</t>
    </rPh>
    <rPh sb="6" eb="8">
      <t>イセ</t>
    </rPh>
    <rPh sb="8" eb="10">
      <t>シンヨウ</t>
    </rPh>
    <rPh sb="10" eb="12">
      <t>キンコ</t>
    </rPh>
    <rPh sb="12" eb="14">
      <t>カメヤマ</t>
    </rPh>
    <rPh sb="14" eb="16">
      <t>シテン</t>
    </rPh>
    <rPh sb="16" eb="19">
      <t>イダガワ</t>
    </rPh>
    <rPh sb="19" eb="21">
      <t>シュッチョウ</t>
    </rPh>
    <rPh sb="21" eb="22">
      <t>トコロ</t>
    </rPh>
    <rPh sb="23" eb="25">
      <t>カイギョウ</t>
    </rPh>
    <phoneticPr fontId="2"/>
  </si>
  <si>
    <t>北伊勢信用金庫亀山支店井田川出張所</t>
    <phoneticPr fontId="2"/>
  </si>
  <si>
    <t>亀山城多門櫓、17年振りに修繕（外壁）11月9日完成</t>
    <rPh sb="0" eb="3">
      <t>カメヤマジョウ</t>
    </rPh>
    <rPh sb="3" eb="5">
      <t>タモン</t>
    </rPh>
    <rPh sb="5" eb="6">
      <t>ヤグラ</t>
    </rPh>
    <rPh sb="9" eb="10">
      <t>ネン</t>
    </rPh>
    <rPh sb="10" eb="11">
      <t>フ</t>
    </rPh>
    <rPh sb="13" eb="15">
      <t>シュウゼン</t>
    </rPh>
    <rPh sb="16" eb="18">
      <t>ガイヘキ</t>
    </rPh>
    <rPh sb="21" eb="22">
      <t>ガツ</t>
    </rPh>
    <rPh sb="23" eb="24">
      <t>ニチ</t>
    </rPh>
    <rPh sb="24" eb="26">
      <t>カンセイ</t>
    </rPh>
    <phoneticPr fontId="2"/>
  </si>
  <si>
    <t>本丸町</t>
    <rPh sb="0" eb="1">
      <t>ホン</t>
    </rPh>
    <phoneticPr fontId="2"/>
  </si>
  <si>
    <t>亀山城と宿場／亀山城のつくり／櫓／多門櫓</t>
  </si>
  <si>
    <t>亀山のいいとこさがし／建物</t>
    <phoneticPr fontId="2"/>
  </si>
  <si>
    <t>昭和62</t>
    <phoneticPr fontId="2"/>
  </si>
  <si>
    <t>当市で関西茶業振興大会が開催された</t>
    <rPh sb="0" eb="2">
      <t>トウシ</t>
    </rPh>
    <rPh sb="3" eb="5">
      <t>カンサイ</t>
    </rPh>
    <rPh sb="5" eb="6">
      <t>チャ</t>
    </rPh>
    <rPh sb="6" eb="7">
      <t>ギョウ</t>
    </rPh>
    <rPh sb="7" eb="9">
      <t>シンコウ</t>
    </rPh>
    <rPh sb="9" eb="11">
      <t>タイカイ</t>
    </rPh>
    <rPh sb="12" eb="14">
      <t>カイサイ</t>
    </rPh>
    <phoneticPr fontId="2"/>
  </si>
  <si>
    <t>昭和63</t>
    <phoneticPr fontId="2"/>
  </si>
  <si>
    <t>60年1月焼失の亀山演武場を再建する</t>
    <rPh sb="2" eb="3">
      <t>ネン</t>
    </rPh>
    <rPh sb="4" eb="5">
      <t>ガツ</t>
    </rPh>
    <rPh sb="5" eb="7">
      <t>ショウシツ</t>
    </rPh>
    <rPh sb="8" eb="10">
      <t>カメヤマ</t>
    </rPh>
    <rPh sb="10" eb="12">
      <t>エンブ</t>
    </rPh>
    <rPh sb="12" eb="13">
      <t>バ</t>
    </rPh>
    <rPh sb="14" eb="16">
      <t>サイケン</t>
    </rPh>
    <phoneticPr fontId="2"/>
  </si>
  <si>
    <t>亀山演武場</t>
    <phoneticPr fontId="2"/>
  </si>
  <si>
    <t>『亀山のあゆみ』P.452・年表</t>
    <phoneticPr fontId="2"/>
  </si>
  <si>
    <t>本町と井尻・北山・東台・北町・渋倉・栄町の一部550世帯が住居表示され、本町１丁目～４丁目となる</t>
    <rPh sb="0" eb="2">
      <t>ホンマチ</t>
    </rPh>
    <rPh sb="3" eb="5">
      <t>イジリ</t>
    </rPh>
    <rPh sb="6" eb="8">
      <t>キタヤマ</t>
    </rPh>
    <rPh sb="9" eb="11">
      <t>ヒガシダイ</t>
    </rPh>
    <rPh sb="12" eb="13">
      <t>キタ</t>
    </rPh>
    <rPh sb="13" eb="14">
      <t>マチ</t>
    </rPh>
    <rPh sb="15" eb="16">
      <t>シブ</t>
    </rPh>
    <rPh sb="16" eb="17">
      <t>クラ</t>
    </rPh>
    <rPh sb="18" eb="20">
      <t>サカエマチ</t>
    </rPh>
    <rPh sb="21" eb="23">
      <t>イチブ</t>
    </rPh>
    <rPh sb="26" eb="28">
      <t>セタイ</t>
    </rPh>
    <rPh sb="29" eb="31">
      <t>ジュウキョ</t>
    </rPh>
    <rPh sb="31" eb="33">
      <t>ヒョウジ</t>
    </rPh>
    <rPh sb="36" eb="38">
      <t>ホンマチ</t>
    </rPh>
    <rPh sb="39" eb="41">
      <t>チョウメ</t>
    </rPh>
    <rPh sb="43" eb="45">
      <t>チョウメ</t>
    </rPh>
    <phoneticPr fontId="2"/>
  </si>
  <si>
    <t>本町1丁目～4丁目</t>
    <rPh sb="0" eb="2">
      <t>ホンマチ</t>
    </rPh>
    <rPh sb="3" eb="5">
      <t>チョウメ</t>
    </rPh>
    <rPh sb="7" eb="9">
      <t>チョウメ</t>
    </rPh>
    <phoneticPr fontId="2"/>
  </si>
  <si>
    <t>「亀山市の文化財」改訂版が発刊</t>
    <rPh sb="1" eb="4">
      <t>カメヤマシ</t>
    </rPh>
    <rPh sb="5" eb="8">
      <t>ブンカザイ</t>
    </rPh>
    <rPh sb="9" eb="12">
      <t>カイテイバン</t>
    </rPh>
    <rPh sb="13" eb="15">
      <t>ハッカン</t>
    </rPh>
    <phoneticPr fontId="2"/>
  </si>
  <si>
    <t>『亀山のあゆみ』年表
『亀山市の文化財』</t>
    <rPh sb="12" eb="15">
      <t>カメヤマシ</t>
    </rPh>
    <rPh sb="16" eb="19">
      <t>ブンカザイ</t>
    </rPh>
    <phoneticPr fontId="2"/>
  </si>
  <si>
    <t>亀山東小前に亀山東地区集会所（本町地区防災センター）完成</t>
    <rPh sb="0" eb="2">
      <t>カメヤマ</t>
    </rPh>
    <rPh sb="2" eb="3">
      <t>ヒガシ</t>
    </rPh>
    <rPh sb="3" eb="4">
      <t>ショウ</t>
    </rPh>
    <rPh sb="4" eb="5">
      <t>マエ</t>
    </rPh>
    <rPh sb="6" eb="8">
      <t>カメヤマ</t>
    </rPh>
    <rPh sb="8" eb="9">
      <t>ヒガシ</t>
    </rPh>
    <rPh sb="9" eb="11">
      <t>チク</t>
    </rPh>
    <rPh sb="11" eb="13">
      <t>シュウカイ</t>
    </rPh>
    <rPh sb="13" eb="14">
      <t>ジョ</t>
    </rPh>
    <rPh sb="15" eb="17">
      <t>ホンマチ</t>
    </rPh>
    <rPh sb="17" eb="19">
      <t>チク</t>
    </rPh>
    <rPh sb="19" eb="21">
      <t>ボウサイ</t>
    </rPh>
    <rPh sb="26" eb="28">
      <t>カンセイ</t>
    </rPh>
    <phoneticPr fontId="2"/>
  </si>
  <si>
    <t>亀山東地区集会所</t>
    <phoneticPr fontId="2"/>
  </si>
  <si>
    <t>３ヵ年継続事業の新し尿処理場が完成</t>
    <rPh sb="2" eb="3">
      <t>トシ</t>
    </rPh>
    <rPh sb="3" eb="5">
      <t>ケイゾク</t>
    </rPh>
    <rPh sb="5" eb="7">
      <t>ジギョウ</t>
    </rPh>
    <rPh sb="8" eb="9">
      <t>シン</t>
    </rPh>
    <rPh sb="10" eb="11">
      <t>ニョウ</t>
    </rPh>
    <rPh sb="11" eb="13">
      <t>ショリ</t>
    </rPh>
    <rPh sb="13" eb="14">
      <t>バ</t>
    </rPh>
    <rPh sb="15" eb="17">
      <t>カンセイ</t>
    </rPh>
    <phoneticPr fontId="2"/>
  </si>
  <si>
    <t>新し尿処理場</t>
    <phoneticPr fontId="2"/>
  </si>
  <si>
    <t>辺法寺公民館跡に辺法寺営農組合の農事集会所が完成</t>
    <rPh sb="0" eb="3">
      <t>ヘンボウジ</t>
    </rPh>
    <rPh sb="3" eb="6">
      <t>コウミンカン</t>
    </rPh>
    <rPh sb="6" eb="7">
      <t>アト</t>
    </rPh>
    <rPh sb="8" eb="11">
      <t>ヘンボウジ</t>
    </rPh>
    <rPh sb="11" eb="13">
      <t>エイノウ</t>
    </rPh>
    <rPh sb="13" eb="15">
      <t>クミアイ</t>
    </rPh>
    <rPh sb="16" eb="18">
      <t>ノウジ</t>
    </rPh>
    <rPh sb="18" eb="20">
      <t>シュウカイ</t>
    </rPh>
    <rPh sb="20" eb="21">
      <t>ショ</t>
    </rPh>
    <rPh sb="22" eb="24">
      <t>カンセイ</t>
    </rPh>
    <phoneticPr fontId="2"/>
  </si>
  <si>
    <t>辺法寺</t>
    <rPh sb="0" eb="3">
      <t>ヘンボウジ</t>
    </rPh>
    <phoneticPr fontId="2"/>
  </si>
  <si>
    <t>辺法寺営農組合農事集会所</t>
    <phoneticPr fontId="2"/>
  </si>
  <si>
    <t>東町の亀山信用組合、県内の４信用組合と合併、三重県信用組合亀山支店となる</t>
    <rPh sb="0" eb="1">
      <t>ヒガシ</t>
    </rPh>
    <rPh sb="1" eb="2">
      <t>マチ</t>
    </rPh>
    <rPh sb="3" eb="5">
      <t>カメヤマ</t>
    </rPh>
    <rPh sb="5" eb="7">
      <t>シンヨウ</t>
    </rPh>
    <rPh sb="7" eb="9">
      <t>クミアイ</t>
    </rPh>
    <rPh sb="10" eb="12">
      <t>ケンナイ</t>
    </rPh>
    <rPh sb="14" eb="16">
      <t>シンヨウ</t>
    </rPh>
    <rPh sb="16" eb="18">
      <t>クミアイ</t>
    </rPh>
    <rPh sb="19" eb="21">
      <t>ガッペイ</t>
    </rPh>
    <rPh sb="22" eb="25">
      <t>ミエケン</t>
    </rPh>
    <rPh sb="25" eb="27">
      <t>シンヨウ</t>
    </rPh>
    <rPh sb="27" eb="29">
      <t>クミアイ</t>
    </rPh>
    <rPh sb="29" eb="31">
      <t>カメヤマ</t>
    </rPh>
    <rPh sb="31" eb="33">
      <t>シテン</t>
    </rPh>
    <phoneticPr fontId="2"/>
  </si>
  <si>
    <t>三重県信用組合亀山支店</t>
    <phoneticPr fontId="2"/>
  </si>
  <si>
    <t>都市計画道路和田関線の東台町地内で架設中の橋の名称決まり、「粉蝶橋」が採用となる</t>
    <rPh sb="0" eb="2">
      <t>トシ</t>
    </rPh>
    <rPh sb="2" eb="4">
      <t>ケイカク</t>
    </rPh>
    <rPh sb="4" eb="6">
      <t>ドウロ</t>
    </rPh>
    <rPh sb="6" eb="8">
      <t>ワダ</t>
    </rPh>
    <rPh sb="8" eb="9">
      <t>セキ</t>
    </rPh>
    <rPh sb="9" eb="10">
      <t>セン</t>
    </rPh>
    <rPh sb="11" eb="12">
      <t>ヒガシ</t>
    </rPh>
    <rPh sb="12" eb="13">
      <t>ダイ</t>
    </rPh>
    <rPh sb="13" eb="14">
      <t>マチ</t>
    </rPh>
    <rPh sb="14" eb="15">
      <t>チ</t>
    </rPh>
    <rPh sb="15" eb="16">
      <t>ナイ</t>
    </rPh>
    <rPh sb="17" eb="19">
      <t>カセツ</t>
    </rPh>
    <rPh sb="19" eb="20">
      <t>ナカ</t>
    </rPh>
    <rPh sb="21" eb="22">
      <t>ハシ</t>
    </rPh>
    <rPh sb="23" eb="25">
      <t>メイショウ</t>
    </rPh>
    <rPh sb="25" eb="26">
      <t>キ</t>
    </rPh>
    <rPh sb="30" eb="31">
      <t>コナ</t>
    </rPh>
    <rPh sb="31" eb="32">
      <t>チョウ</t>
    </rPh>
    <rPh sb="32" eb="33">
      <t>ハシ</t>
    </rPh>
    <rPh sb="35" eb="37">
      <t>サイヨウ</t>
    </rPh>
    <phoneticPr fontId="2"/>
  </si>
  <si>
    <t>東台町</t>
    <phoneticPr fontId="2"/>
  </si>
  <si>
    <t>粉蝶橋</t>
  </si>
  <si>
    <t>昭和22年設置の亀山簡易裁判所（南崎町）が廃止となる</t>
    <rPh sb="0" eb="2">
      <t>ショウワ</t>
    </rPh>
    <rPh sb="4" eb="5">
      <t>ネン</t>
    </rPh>
    <rPh sb="5" eb="7">
      <t>セッチ</t>
    </rPh>
    <rPh sb="8" eb="10">
      <t>カメヤマ</t>
    </rPh>
    <rPh sb="10" eb="12">
      <t>カンイ</t>
    </rPh>
    <rPh sb="12" eb="14">
      <t>サイバン</t>
    </rPh>
    <rPh sb="14" eb="15">
      <t>ショ</t>
    </rPh>
    <rPh sb="16" eb="17">
      <t>ミナミ</t>
    </rPh>
    <rPh sb="17" eb="18">
      <t>ザキ</t>
    </rPh>
    <rPh sb="18" eb="19">
      <t>マチ</t>
    </rPh>
    <rPh sb="21" eb="23">
      <t>ハイシ</t>
    </rPh>
    <phoneticPr fontId="2"/>
  </si>
  <si>
    <t>南崎町</t>
    <phoneticPr fontId="2"/>
  </si>
  <si>
    <t>亀山簡易裁判所</t>
    <phoneticPr fontId="2"/>
  </si>
  <si>
    <t>西丸町の侍屋敷遺構（門）を改修</t>
    <rPh sb="0" eb="1">
      <t>ニシ</t>
    </rPh>
    <rPh sb="1" eb="2">
      <t>マル</t>
    </rPh>
    <rPh sb="2" eb="3">
      <t>マチ</t>
    </rPh>
    <rPh sb="4" eb="5">
      <t>サムライ</t>
    </rPh>
    <rPh sb="5" eb="7">
      <t>ヤシキ</t>
    </rPh>
    <rPh sb="7" eb="9">
      <t>イコウ</t>
    </rPh>
    <rPh sb="10" eb="11">
      <t>カド</t>
    </rPh>
    <rPh sb="13" eb="15">
      <t>カイシュウ</t>
    </rPh>
    <phoneticPr fontId="2"/>
  </si>
  <si>
    <t>西丸町</t>
    <phoneticPr fontId="2"/>
  </si>
  <si>
    <t>侍屋敷遺構</t>
    <phoneticPr fontId="2"/>
  </si>
  <si>
    <t>亀山城と宿場／亀山城のつくり／家臣の住むところ</t>
    <rPh sb="15" eb="17">
      <t>カシン</t>
    </rPh>
    <rPh sb="18" eb="19">
      <t>ス</t>
    </rPh>
    <phoneticPr fontId="2"/>
  </si>
  <si>
    <t>http://kameyamarekihaku.jp/kodomo/w_e_b/syukuba/tsukuri/page016.html</t>
  </si>
  <si>
    <t>『亀山のあゆみ』年表
『亀山市史』考古分野</t>
    <rPh sb="11" eb="21">
      <t>カ</t>
    </rPh>
    <phoneticPr fontId="2"/>
  </si>
  <si>
    <t>亀山のいいとこさがし／建物</t>
    <phoneticPr fontId="2"/>
  </si>
  <si>
    <t>昭和63</t>
    <phoneticPr fontId="2"/>
  </si>
  <si>
    <t>台風13号で山下橋流出</t>
    <rPh sb="0" eb="2">
      <t>タイフウ</t>
    </rPh>
    <rPh sb="4" eb="5">
      <t>ゴウ</t>
    </rPh>
    <rPh sb="6" eb="8">
      <t>ヤマシタ</t>
    </rPh>
    <rPh sb="8" eb="9">
      <t>ハシ</t>
    </rPh>
    <rPh sb="9" eb="11">
      <t>リュウシュツ</t>
    </rPh>
    <phoneticPr fontId="2"/>
  </si>
  <si>
    <t>山下町</t>
    <rPh sb="2" eb="3">
      <t>チョウ</t>
    </rPh>
    <phoneticPr fontId="2"/>
  </si>
  <si>
    <t>山下橋</t>
  </si>
  <si>
    <t>昼生小の校地予定地である中庄町の「光於堂遺跡」の発掘調査が完了</t>
    <rPh sb="0" eb="2">
      <t>ヒルオ</t>
    </rPh>
    <rPh sb="2" eb="3">
      <t>ショウ</t>
    </rPh>
    <rPh sb="4" eb="6">
      <t>コウチ</t>
    </rPh>
    <rPh sb="6" eb="8">
      <t>ヨテイ</t>
    </rPh>
    <rPh sb="8" eb="9">
      <t>チ</t>
    </rPh>
    <rPh sb="12" eb="13">
      <t>ナカ</t>
    </rPh>
    <rPh sb="13" eb="14">
      <t>ショウ</t>
    </rPh>
    <rPh sb="14" eb="15">
      <t>マチ</t>
    </rPh>
    <rPh sb="17" eb="18">
      <t>ヒカリ</t>
    </rPh>
    <rPh sb="18" eb="19">
      <t>オ</t>
    </rPh>
    <rPh sb="19" eb="20">
      <t>ドウ</t>
    </rPh>
    <rPh sb="20" eb="22">
      <t>イセキ</t>
    </rPh>
    <rPh sb="24" eb="26">
      <t>ハックツ</t>
    </rPh>
    <rPh sb="26" eb="28">
      <t>チョウサ</t>
    </rPh>
    <rPh sb="29" eb="31">
      <t>カンリョウ</t>
    </rPh>
    <phoneticPr fontId="2"/>
  </si>
  <si>
    <t xml:space="preserve">『亀山のあゆみ』年表
『光於堂遺跡』
『亀山市史』考古分野
</t>
    <rPh sb="19" eb="29">
      <t>カ</t>
    </rPh>
    <phoneticPr fontId="2"/>
  </si>
  <si>
    <t>昭和63</t>
    <phoneticPr fontId="2"/>
  </si>
  <si>
    <t>亀山鈴鹿線の菅内～八野間舗装工事完成</t>
    <rPh sb="0" eb="1">
      <t>カメ</t>
    </rPh>
    <rPh sb="1" eb="2">
      <t>ヤマ</t>
    </rPh>
    <rPh sb="2" eb="4">
      <t>スズカ</t>
    </rPh>
    <rPh sb="4" eb="5">
      <t>セン</t>
    </rPh>
    <rPh sb="6" eb="7">
      <t>スガ</t>
    </rPh>
    <rPh sb="7" eb="8">
      <t>ウチ</t>
    </rPh>
    <rPh sb="9" eb="11">
      <t>ハチノ</t>
    </rPh>
    <rPh sb="11" eb="12">
      <t>アイダ</t>
    </rPh>
    <rPh sb="12" eb="14">
      <t>ホソウ</t>
    </rPh>
    <rPh sb="14" eb="16">
      <t>コウジ</t>
    </rPh>
    <rPh sb="16" eb="18">
      <t>カンセイ</t>
    </rPh>
    <phoneticPr fontId="2"/>
  </si>
  <si>
    <t>市青年会議所が募集の「日本武尊」のキャラクターが決まる（旧亀山市）</t>
    <rPh sb="0" eb="1">
      <t>シ</t>
    </rPh>
    <rPh sb="1" eb="3">
      <t>セイネン</t>
    </rPh>
    <rPh sb="3" eb="6">
      <t>カイギショ</t>
    </rPh>
    <rPh sb="7" eb="9">
      <t>ボシュウ</t>
    </rPh>
    <rPh sb="11" eb="13">
      <t>ニホン</t>
    </rPh>
    <rPh sb="13" eb="14">
      <t>ブ</t>
    </rPh>
    <rPh sb="14" eb="15">
      <t>ミコト</t>
    </rPh>
    <rPh sb="24" eb="25">
      <t>キ</t>
    </rPh>
    <rPh sb="28" eb="29">
      <t>キュウ</t>
    </rPh>
    <rPh sb="29" eb="32">
      <t>カメヤマシ</t>
    </rPh>
    <phoneticPr fontId="2"/>
  </si>
  <si>
    <t>栄町の東野公園予定地の「柴戸遺跡」発掘調査が完了
ほぼ全域から弥生時代後期から中世までの遺構・遺物（6世紀中葉の古墳１０基など）を発見</t>
    <rPh sb="0" eb="2">
      <t>サカエマチ</t>
    </rPh>
    <rPh sb="3" eb="4">
      <t>ヒガシ</t>
    </rPh>
    <rPh sb="4" eb="5">
      <t>ノ</t>
    </rPh>
    <rPh sb="5" eb="7">
      <t>コウエン</t>
    </rPh>
    <rPh sb="7" eb="10">
      <t>ヨテイチ</t>
    </rPh>
    <rPh sb="12" eb="13">
      <t>シバ</t>
    </rPh>
    <rPh sb="13" eb="14">
      <t>ト</t>
    </rPh>
    <rPh sb="14" eb="16">
      <t>イセキ</t>
    </rPh>
    <rPh sb="17" eb="19">
      <t>ハックツ</t>
    </rPh>
    <rPh sb="19" eb="21">
      <t>チョウサ</t>
    </rPh>
    <rPh sb="22" eb="24">
      <t>カンリョウ</t>
    </rPh>
    <rPh sb="27" eb="29">
      <t>ゼンイキ</t>
    </rPh>
    <rPh sb="31" eb="33">
      <t>ヤヨイ</t>
    </rPh>
    <rPh sb="33" eb="35">
      <t>ジダイ</t>
    </rPh>
    <rPh sb="35" eb="37">
      <t>コウキ</t>
    </rPh>
    <rPh sb="39" eb="41">
      <t>チュウセイ</t>
    </rPh>
    <rPh sb="44" eb="46">
      <t>イコウ</t>
    </rPh>
    <rPh sb="47" eb="49">
      <t>イブツ</t>
    </rPh>
    <rPh sb="51" eb="53">
      <t>セイキ</t>
    </rPh>
    <rPh sb="53" eb="55">
      <t>チュウヨウ</t>
    </rPh>
    <rPh sb="56" eb="58">
      <t>コフン</t>
    </rPh>
    <rPh sb="60" eb="61">
      <t>キ</t>
    </rPh>
    <rPh sb="65" eb="67">
      <t>ハッケン</t>
    </rPh>
    <phoneticPr fontId="2"/>
  </si>
  <si>
    <t>日本の歴史の中の亀山／古代の亀山／亀山のあけぼの／大王の時代と亀山の古墳／亀山の古墳／さまざまな古墳（１）</t>
    <phoneticPr fontId="2"/>
  </si>
  <si>
    <t>『亀山のあゆみ』年表
『柴戸古墳』
『三重県史』考古Ⅰ
『亀山市史』考古分野</t>
    <rPh sb="12" eb="13">
      <t>シバ</t>
    </rPh>
    <rPh sb="13" eb="14">
      <t>ト</t>
    </rPh>
    <rPh sb="14" eb="16">
      <t>コフン</t>
    </rPh>
    <rPh sb="19" eb="21">
      <t>ミエ</t>
    </rPh>
    <rPh sb="21" eb="23">
      <t>ケンシ</t>
    </rPh>
    <rPh sb="24" eb="26">
      <t>コウコ</t>
    </rPh>
    <rPh sb="28" eb="38">
      <t>カ</t>
    </rPh>
    <phoneticPr fontId="2"/>
  </si>
  <si>
    <t>昭和63</t>
  </si>
  <si>
    <t>地蔵院本堂・鐘楼が国重要文化財に指定される</t>
    <phoneticPr fontId="2"/>
  </si>
  <si>
    <t>地蔵院本堂・鐘楼</t>
    <phoneticPr fontId="2"/>
  </si>
  <si>
    <t>『関町五十周年記念誌』
『亀山市史』通史　近代現代</t>
    <rPh sb="12" eb="25">
      <t>ツ</t>
    </rPh>
    <phoneticPr fontId="2"/>
  </si>
  <si>
    <t>亀山のいいとこさがし／景色のよいところや歴史を知る手掛かりとなるもの／関宿のまちなみ／新所のまちなみ／地蔵院本堂・鐘楼・愛染堂</t>
    <rPh sb="43" eb="45">
      <t>シンジョ</t>
    </rPh>
    <rPh sb="51" eb="53">
      <t>ジゾウ</t>
    </rPh>
    <rPh sb="53" eb="54">
      <t>イン</t>
    </rPh>
    <rPh sb="54" eb="56">
      <t>ホンドウ</t>
    </rPh>
    <rPh sb="57" eb="59">
      <t>ショウロウ</t>
    </rPh>
    <rPh sb="60" eb="62">
      <t>アイゼン</t>
    </rPh>
    <rPh sb="62" eb="63">
      <t>ドウ</t>
    </rPh>
    <phoneticPr fontId="2"/>
  </si>
  <si>
    <t>関宿中心部無電柱化工事完成</t>
    <rPh sb="0" eb="1">
      <t>セキ</t>
    </rPh>
    <rPh sb="1" eb="2">
      <t>ヤド</t>
    </rPh>
    <rPh sb="2" eb="5">
      <t>チュウシンブ</t>
    </rPh>
    <rPh sb="5" eb="6">
      <t>ム</t>
    </rPh>
    <rPh sb="6" eb="8">
      <t>デンチュウ</t>
    </rPh>
    <rPh sb="8" eb="9">
      <t>カ</t>
    </rPh>
    <rPh sb="9" eb="11">
      <t>コウジ</t>
    </rPh>
    <rPh sb="11" eb="13">
      <t>カンセイ</t>
    </rPh>
    <phoneticPr fontId="2"/>
  </si>
  <si>
    <t>『関町五十周年記念誌』
『亀山市史』通史　近代現代</t>
    <rPh sb="1" eb="3">
      <t>セキチョウ</t>
    </rPh>
    <rPh sb="3" eb="4">
      <t>ゴ</t>
    </rPh>
    <rPh sb="4" eb="7">
      <t>ジュウシュウネン</t>
    </rPh>
    <rPh sb="7" eb="9">
      <t>キネン</t>
    </rPh>
    <rPh sb="9" eb="10">
      <t>シ</t>
    </rPh>
    <rPh sb="12" eb="25">
      <t>ツ</t>
    </rPh>
    <phoneticPr fontId="2"/>
  </si>
  <si>
    <t>亀山城と宿場／４つの宿場／東海道・伊勢街道・大和街道分岐の宿場 関宿</t>
    <rPh sb="0" eb="3">
      <t>カメヤマジョウ</t>
    </rPh>
    <rPh sb="4" eb="6">
      <t>シュクバ</t>
    </rPh>
    <rPh sb="10" eb="12">
      <t>シュクバ</t>
    </rPh>
    <rPh sb="13" eb="16">
      <t>トウカイドウ</t>
    </rPh>
    <rPh sb="17" eb="19">
      <t>イセ</t>
    </rPh>
    <rPh sb="19" eb="21">
      <t>カイドウ</t>
    </rPh>
    <rPh sb="22" eb="24">
      <t>ヤマト</t>
    </rPh>
    <rPh sb="24" eb="26">
      <t>カイドウ</t>
    </rPh>
    <rPh sb="26" eb="28">
      <t>ブンキ</t>
    </rPh>
    <rPh sb="29" eb="31">
      <t>シュクバ</t>
    </rPh>
    <rPh sb="32" eb="33">
      <t>セキ</t>
    </rPh>
    <rPh sb="33" eb="34">
      <t>ジュク</t>
    </rPh>
    <phoneticPr fontId="2"/>
  </si>
  <si>
    <t>関まちなみ資料館オープン</t>
    <rPh sb="0" eb="1">
      <t>セキ</t>
    </rPh>
    <rPh sb="5" eb="8">
      <t>シリョウカン</t>
    </rPh>
    <phoneticPr fontId="2"/>
  </si>
  <si>
    <t>関まちなみ資料館</t>
  </si>
  <si>
    <t>亀山のいいとこさがし／景色のよいところや歴史を知る手掛かりとなるもの／関宿のまちなみ／中町のまちなみ／旧別所家住宅（関まちなみ資料館）</t>
    <rPh sb="43" eb="45">
      <t>ナカマチ</t>
    </rPh>
    <rPh sb="51" eb="52">
      <t>キュウ</t>
    </rPh>
    <rPh sb="52" eb="55">
      <t>ベッショケ</t>
    </rPh>
    <rPh sb="55" eb="57">
      <t>ジュウタク</t>
    </rPh>
    <rPh sb="58" eb="59">
      <t>セキ</t>
    </rPh>
    <rPh sb="63" eb="66">
      <t>シリョウカン</t>
    </rPh>
    <phoneticPr fontId="2"/>
  </si>
  <si>
    <t>http://kameyamarekihaku.jp/kodomo/w_e_b/iitoko/tegakari/machinami/nakamachi/page006.html</t>
  </si>
  <si>
    <t>青函トンネルが開通する</t>
  </si>
  <si>
    <t>瀬戸大橋が完成する</t>
    <phoneticPr fontId="2"/>
  </si>
  <si>
    <t>平成時代</t>
    <rPh sb="2" eb="4">
      <t>ジダイ</t>
    </rPh>
    <phoneticPr fontId="2"/>
  </si>
  <si>
    <t>平成元</t>
    <rPh sb="2" eb="3">
      <t>ゲン</t>
    </rPh>
    <phoneticPr fontId="2"/>
  </si>
  <si>
    <t>消費税がとリ入れられる</t>
  </si>
  <si>
    <t>太岡寺町の国道１号亀山バイパス予定地の大鼻遺跡で、県下最大規模の集落跡を発掘</t>
    <rPh sb="0" eb="4">
      <t>タイコウジチョウ</t>
    </rPh>
    <rPh sb="5" eb="7">
      <t>コクドウ</t>
    </rPh>
    <rPh sb="8" eb="9">
      <t>ゴウ</t>
    </rPh>
    <rPh sb="9" eb="11">
      <t>カメヤマ</t>
    </rPh>
    <rPh sb="15" eb="17">
      <t>ヨテイ</t>
    </rPh>
    <rPh sb="17" eb="18">
      <t>チ</t>
    </rPh>
    <rPh sb="19" eb="20">
      <t>オオ</t>
    </rPh>
    <rPh sb="20" eb="21">
      <t>ハナ</t>
    </rPh>
    <rPh sb="21" eb="23">
      <t>イセキ</t>
    </rPh>
    <rPh sb="25" eb="27">
      <t>ケンカ</t>
    </rPh>
    <rPh sb="27" eb="29">
      <t>サイダイ</t>
    </rPh>
    <rPh sb="29" eb="31">
      <t>キボ</t>
    </rPh>
    <rPh sb="32" eb="34">
      <t>シュウラク</t>
    </rPh>
    <rPh sb="34" eb="35">
      <t>アト</t>
    </rPh>
    <rPh sb="36" eb="38">
      <t>ハックツ</t>
    </rPh>
    <phoneticPr fontId="2"/>
  </si>
  <si>
    <t>日本の歴史の中の亀山／古代の亀山／亀山のあけぼの／人が住み始めたころの亀山／縄文時代の暮らし／大鼻遺跡</t>
    <rPh sb="47" eb="51">
      <t>オオハナイセキ</t>
    </rPh>
    <phoneticPr fontId="2"/>
  </si>
  <si>
    <t>『亀山のあゆみ』年表
『大鼻遺跡』</t>
    <rPh sb="12" eb="14">
      <t>オオハナ</t>
    </rPh>
    <rPh sb="14" eb="16">
      <t>イセキ</t>
    </rPh>
    <phoneticPr fontId="2"/>
  </si>
  <si>
    <t>日本の歴史の中の亀山／古代の亀山／亀山のあけぼの／弥生時代の暮らし／弥生文化と亀山／大鼻遺跡</t>
    <rPh sb="25" eb="27">
      <t>ヤヨイ</t>
    </rPh>
    <rPh sb="34" eb="38">
      <t>ヤヨイブンカ</t>
    </rPh>
    <rPh sb="39" eb="41">
      <t>カメヤマ</t>
    </rPh>
    <rPh sb="42" eb="43">
      <t>オオ</t>
    </rPh>
    <rPh sb="43" eb="44">
      <t>ハナ</t>
    </rPh>
    <rPh sb="44" eb="46">
      <t>イセキ</t>
    </rPh>
    <phoneticPr fontId="2"/>
  </si>
  <si>
    <t>日本の歴史の中の亀山／古代の亀山／亀山のあけぼの／大王の時代と亀山の古墳／古墳時代のむら／さまざまな古墳（３）</t>
    <rPh sb="37" eb="39">
      <t>コフン</t>
    </rPh>
    <rPh sb="39" eb="41">
      <t>ジダイ</t>
    </rPh>
    <phoneticPr fontId="2"/>
  </si>
  <si>
    <t>（財）亀山市地域社会振興会を設置</t>
    <rPh sb="1" eb="2">
      <t>ザイ</t>
    </rPh>
    <rPh sb="3" eb="6">
      <t>カメヤマシ</t>
    </rPh>
    <rPh sb="6" eb="8">
      <t>チイキ</t>
    </rPh>
    <rPh sb="8" eb="10">
      <t>シャカイ</t>
    </rPh>
    <rPh sb="10" eb="13">
      <t>シンコウカイ</t>
    </rPh>
    <rPh sb="14" eb="16">
      <t>セッチ</t>
    </rPh>
    <phoneticPr fontId="2"/>
  </si>
  <si>
    <t>鈴鹿農協誕生。鈴鹿市、亀山市、関、庄内、深伊沢、井田川、能褒野の７つの農協が合併、本店を鈴鹿市神戸に置く</t>
    <rPh sb="0" eb="2">
      <t>スズカ</t>
    </rPh>
    <rPh sb="2" eb="4">
      <t>ノウキョウ</t>
    </rPh>
    <rPh sb="4" eb="6">
      <t>タンジョウ</t>
    </rPh>
    <rPh sb="7" eb="10">
      <t>スズカシ</t>
    </rPh>
    <rPh sb="11" eb="14">
      <t>カメヤマシ</t>
    </rPh>
    <rPh sb="15" eb="16">
      <t>セキ</t>
    </rPh>
    <rPh sb="17" eb="19">
      <t>ショウナイ</t>
    </rPh>
    <rPh sb="20" eb="21">
      <t>フカ</t>
    </rPh>
    <rPh sb="21" eb="23">
      <t>イザワ</t>
    </rPh>
    <rPh sb="24" eb="27">
      <t>イダガワ</t>
    </rPh>
    <rPh sb="28" eb="31">
      <t>ノボノ</t>
    </rPh>
    <rPh sb="35" eb="37">
      <t>ノウキョウ</t>
    </rPh>
    <rPh sb="38" eb="40">
      <t>ガッペイ</t>
    </rPh>
    <rPh sb="41" eb="43">
      <t>ホンテン</t>
    </rPh>
    <rPh sb="44" eb="47">
      <t>スズカシ</t>
    </rPh>
    <rPh sb="47" eb="49">
      <t>カンベ</t>
    </rPh>
    <rPh sb="50" eb="51">
      <t>オ</t>
    </rPh>
    <phoneticPr fontId="2"/>
  </si>
  <si>
    <t>市、土曜閉庁を実施（毎月第2・第4土曜日）</t>
    <rPh sb="0" eb="1">
      <t>シ</t>
    </rPh>
    <rPh sb="2" eb="4">
      <t>ドヨウ</t>
    </rPh>
    <rPh sb="4" eb="6">
      <t>ヘイチョウ</t>
    </rPh>
    <rPh sb="7" eb="9">
      <t>ジッシ</t>
    </rPh>
    <rPh sb="10" eb="12">
      <t>マイツキ</t>
    </rPh>
    <rPh sb="12" eb="13">
      <t>ダイ</t>
    </rPh>
    <rPh sb="15" eb="16">
      <t>ダイ</t>
    </rPh>
    <rPh sb="17" eb="20">
      <t>ドヨウビ</t>
    </rPh>
    <phoneticPr fontId="2"/>
  </si>
  <si>
    <t>歌舞伎役者の中村吉右衛門が野村照光寺にある赤堀水之助(石井兄弟仇討）の墓参りを行う</t>
    <rPh sb="0" eb="3">
      <t>カブキ</t>
    </rPh>
    <rPh sb="3" eb="5">
      <t>ヤクシャ</t>
    </rPh>
    <rPh sb="6" eb="8">
      <t>ナカムラ</t>
    </rPh>
    <rPh sb="8" eb="9">
      <t>キチ</t>
    </rPh>
    <rPh sb="9" eb="10">
      <t>ミギ</t>
    </rPh>
    <rPh sb="10" eb="12">
      <t>エモン</t>
    </rPh>
    <rPh sb="13" eb="15">
      <t>ノムラ</t>
    </rPh>
    <rPh sb="15" eb="16">
      <t>テル</t>
    </rPh>
    <rPh sb="16" eb="17">
      <t>ヒカリ</t>
    </rPh>
    <rPh sb="17" eb="18">
      <t>テラ</t>
    </rPh>
    <rPh sb="21" eb="23">
      <t>アカホリ</t>
    </rPh>
    <rPh sb="23" eb="24">
      <t>ミズ</t>
    </rPh>
    <rPh sb="24" eb="25">
      <t>ノ</t>
    </rPh>
    <rPh sb="25" eb="26">
      <t>スケ</t>
    </rPh>
    <rPh sb="27" eb="29">
      <t>イシイ</t>
    </rPh>
    <rPh sb="29" eb="31">
      <t>キョウダイ</t>
    </rPh>
    <rPh sb="31" eb="33">
      <t>アダウ</t>
    </rPh>
    <rPh sb="35" eb="37">
      <t>ハカマイ</t>
    </rPh>
    <rPh sb="39" eb="40">
      <t>オコナ</t>
    </rPh>
    <phoneticPr fontId="2"/>
  </si>
  <si>
    <t>亀山のむかしばなし／亀山にまつわるひとびとの話／石井兄弟のかたきうち</t>
    <phoneticPr fontId="2"/>
  </si>
  <si>
    <t>名誉市民の服部四郎が来亀し、言語学研究書と文化勲章を寄贈する</t>
    <rPh sb="0" eb="2">
      <t>メイヨ</t>
    </rPh>
    <rPh sb="2" eb="4">
      <t>シミン</t>
    </rPh>
    <rPh sb="5" eb="7">
      <t>ハットリ</t>
    </rPh>
    <rPh sb="7" eb="9">
      <t>シロウ</t>
    </rPh>
    <rPh sb="10" eb="11">
      <t>キ</t>
    </rPh>
    <rPh sb="11" eb="12">
      <t>カメ</t>
    </rPh>
    <rPh sb="14" eb="17">
      <t>ゲンゴガク</t>
    </rPh>
    <rPh sb="17" eb="20">
      <t>ケンキュウショ</t>
    </rPh>
    <rPh sb="21" eb="23">
      <t>ブンカ</t>
    </rPh>
    <rPh sb="23" eb="25">
      <t>クンショウ</t>
    </rPh>
    <rPh sb="26" eb="28">
      <t>キソウ</t>
    </rPh>
    <phoneticPr fontId="2"/>
  </si>
  <si>
    <t>服部四郎</t>
    <phoneticPr fontId="2"/>
  </si>
  <si>
    <t>服部四郎文庫</t>
    <rPh sb="0" eb="2">
      <t>ハットリ</t>
    </rPh>
    <rPh sb="2" eb="4">
      <t>シロウ</t>
    </rPh>
    <rPh sb="4" eb="6">
      <t>ブンコ</t>
    </rPh>
    <phoneticPr fontId="2"/>
  </si>
  <si>
    <t>小野町殿内の「小野城跡」を発掘調査。土師器、山茶碗を出土</t>
    <rPh sb="0" eb="2">
      <t>オノ</t>
    </rPh>
    <rPh sb="2" eb="3">
      <t>チョウ</t>
    </rPh>
    <rPh sb="3" eb="4">
      <t>トノ</t>
    </rPh>
    <rPh sb="4" eb="5">
      <t>ウチ</t>
    </rPh>
    <rPh sb="7" eb="9">
      <t>オノ</t>
    </rPh>
    <rPh sb="9" eb="10">
      <t>シロ</t>
    </rPh>
    <rPh sb="10" eb="11">
      <t>アト</t>
    </rPh>
    <rPh sb="13" eb="15">
      <t>ハックツ</t>
    </rPh>
    <rPh sb="15" eb="17">
      <t>チョウサ</t>
    </rPh>
    <rPh sb="18" eb="21">
      <t>ハジキ</t>
    </rPh>
    <rPh sb="22" eb="23">
      <t>ヤマ</t>
    </rPh>
    <rPh sb="23" eb="25">
      <t>チャワン</t>
    </rPh>
    <rPh sb="26" eb="28">
      <t>シュツド</t>
    </rPh>
    <phoneticPr fontId="2"/>
  </si>
  <si>
    <t>小野城跡出土品</t>
    <rPh sb="4" eb="7">
      <t>シュツドヒン</t>
    </rPh>
    <phoneticPr fontId="2"/>
  </si>
  <si>
    <t>『亀山のあゆみ』年表
『小野城跡』
『亀山市史』考古分野</t>
    <rPh sb="12" eb="14">
      <t>オノ</t>
    </rPh>
    <rPh sb="14" eb="15">
      <t>ジョウ</t>
    </rPh>
    <rPh sb="15" eb="16">
      <t>アト</t>
    </rPh>
    <rPh sb="18" eb="28">
      <t>カ</t>
    </rPh>
    <phoneticPr fontId="2"/>
  </si>
  <si>
    <t>関町コミュニティ消防センター完成</t>
    <rPh sb="0" eb="2">
      <t>セキチョウ</t>
    </rPh>
    <rPh sb="8" eb="10">
      <t>ショウボウ</t>
    </rPh>
    <rPh sb="14" eb="16">
      <t>カンセイ</t>
    </rPh>
    <phoneticPr fontId="2"/>
  </si>
  <si>
    <t>関町老人福祉センター完成</t>
    <rPh sb="0" eb="2">
      <t>セキチョウ</t>
    </rPh>
    <rPh sb="2" eb="4">
      <t>ロウジン</t>
    </rPh>
    <rPh sb="4" eb="6">
      <t>フクシ</t>
    </rPh>
    <rPh sb="10" eb="12">
      <t>カンセイ</t>
    </rPh>
    <phoneticPr fontId="2"/>
  </si>
  <si>
    <t>関町木崎</t>
    <rPh sb="0" eb="2">
      <t>セキチョウ</t>
    </rPh>
    <rPh sb="2" eb="3">
      <t>キ</t>
    </rPh>
    <rPh sb="3" eb="4">
      <t>サキ</t>
    </rPh>
    <phoneticPr fontId="2"/>
  </si>
  <si>
    <t>名阪亀山・関工業団地造成工事完成</t>
    <rPh sb="0" eb="2">
      <t>メイハン</t>
    </rPh>
    <rPh sb="2" eb="4">
      <t>カメヤマ</t>
    </rPh>
    <rPh sb="5" eb="6">
      <t>セキ</t>
    </rPh>
    <rPh sb="6" eb="8">
      <t>コウギョウ</t>
    </rPh>
    <rPh sb="8" eb="10">
      <t>ダンチ</t>
    </rPh>
    <rPh sb="10" eb="12">
      <t>ゾウセイ</t>
    </rPh>
    <rPh sb="12" eb="14">
      <t>コウジ</t>
    </rPh>
    <rPh sb="14" eb="16">
      <t>カンセイ</t>
    </rPh>
    <phoneticPr fontId="2"/>
  </si>
  <si>
    <t>日本の歴史の中の亀山／現代の亀山／産業／工業／工業団地</t>
    <rPh sb="23" eb="25">
      <t>コウギョウ</t>
    </rPh>
    <rPh sb="25" eb="27">
      <t>ダンチ</t>
    </rPh>
    <phoneticPr fontId="2"/>
  </si>
  <si>
    <t>http://kameyamarekihaku.jp/kodomo/w_e_b/rekishi/gendai/sangyo/kogyo/page005.html</t>
  </si>
  <si>
    <t>『亀山のあゆみ』年表
『関町五十周年記念誌』
『亀山市史』通史　近代現代</t>
    <rPh sb="12" eb="14">
      <t>セキチョウ</t>
    </rPh>
    <rPh sb="14" eb="15">
      <t>ゴ</t>
    </rPh>
    <rPh sb="15" eb="18">
      <t>ジュウシュウネン</t>
    </rPh>
    <rPh sb="18" eb="20">
      <t>キネン</t>
    </rPh>
    <rPh sb="20" eb="21">
      <t>シ</t>
    </rPh>
    <rPh sb="23" eb="36">
      <t>ツ</t>
    </rPh>
    <phoneticPr fontId="2"/>
  </si>
  <si>
    <t>関の町並みボランティア案内人発足</t>
    <rPh sb="0" eb="1">
      <t>セキ</t>
    </rPh>
    <rPh sb="2" eb="4">
      <t>マチナ</t>
    </rPh>
    <rPh sb="11" eb="13">
      <t>アンナイ</t>
    </rPh>
    <rPh sb="13" eb="14">
      <t>ニン</t>
    </rPh>
    <rPh sb="14" eb="16">
      <t>ホッソク</t>
    </rPh>
    <phoneticPr fontId="2"/>
  </si>
  <si>
    <t>平成2</t>
  </si>
  <si>
    <t>羽若町国道１号亀山バイパス建設地内の大藪遺跡発掘調査完了
奈良時代の竪穴住居と奈良・鎌倉時代の掘立柱建物群が見つかる</t>
    <rPh sb="0" eb="3">
      <t>ハワカチョウ</t>
    </rPh>
    <rPh sb="3" eb="5">
      <t>コクドウ</t>
    </rPh>
    <rPh sb="6" eb="7">
      <t>ゴウ</t>
    </rPh>
    <rPh sb="7" eb="9">
      <t>カメヤマ</t>
    </rPh>
    <rPh sb="13" eb="15">
      <t>ケンセツ</t>
    </rPh>
    <rPh sb="15" eb="16">
      <t>チ</t>
    </rPh>
    <rPh sb="16" eb="17">
      <t>ナイ</t>
    </rPh>
    <rPh sb="18" eb="20">
      <t>オオヤブ</t>
    </rPh>
    <rPh sb="20" eb="22">
      <t>イセキ</t>
    </rPh>
    <rPh sb="22" eb="24">
      <t>ハックツ</t>
    </rPh>
    <rPh sb="24" eb="26">
      <t>チョウサ</t>
    </rPh>
    <rPh sb="26" eb="28">
      <t>カンリョウ</t>
    </rPh>
    <rPh sb="29" eb="31">
      <t>ナラ</t>
    </rPh>
    <rPh sb="31" eb="33">
      <t>ジダイ</t>
    </rPh>
    <rPh sb="34" eb="36">
      <t>タテアナ</t>
    </rPh>
    <rPh sb="36" eb="38">
      <t>ジュウキョ</t>
    </rPh>
    <rPh sb="39" eb="41">
      <t>ナラ</t>
    </rPh>
    <rPh sb="42" eb="44">
      <t>カマクラ</t>
    </rPh>
    <rPh sb="44" eb="46">
      <t>ジダイ</t>
    </rPh>
    <rPh sb="47" eb="49">
      <t>ホッタテ</t>
    </rPh>
    <rPh sb="49" eb="50">
      <t>ハシラ</t>
    </rPh>
    <rPh sb="50" eb="52">
      <t>タテモノ</t>
    </rPh>
    <rPh sb="52" eb="53">
      <t>グン</t>
    </rPh>
    <rPh sb="54" eb="55">
      <t>ミ</t>
    </rPh>
    <phoneticPr fontId="2"/>
  </si>
  <si>
    <t>『亀山のあゆみ』年表
『一般国道１号亀山バイパス発掘調査概要』
『亀山市史』考古分野</t>
    <rPh sb="12" eb="14">
      <t>イッパン</t>
    </rPh>
    <rPh sb="14" eb="16">
      <t>コクドウ</t>
    </rPh>
    <rPh sb="17" eb="18">
      <t>ゴウ</t>
    </rPh>
    <rPh sb="18" eb="20">
      <t>カメヤマ</t>
    </rPh>
    <rPh sb="24" eb="26">
      <t>ハックツ</t>
    </rPh>
    <rPh sb="26" eb="28">
      <t>チョウサ</t>
    </rPh>
    <rPh sb="28" eb="30">
      <t>ガイヨウ</t>
    </rPh>
    <rPh sb="32" eb="42">
      <t>カ</t>
    </rPh>
    <phoneticPr fontId="2"/>
  </si>
  <si>
    <t>文化会館で名阪亀山・関工業団地の竣工式を行う</t>
    <rPh sb="0" eb="2">
      <t>ブンカ</t>
    </rPh>
    <rPh sb="2" eb="4">
      <t>カイカン</t>
    </rPh>
    <rPh sb="5" eb="7">
      <t>メイハン</t>
    </rPh>
    <rPh sb="7" eb="9">
      <t>カメヤマ</t>
    </rPh>
    <rPh sb="10" eb="11">
      <t>セキ</t>
    </rPh>
    <rPh sb="11" eb="13">
      <t>コウギョウ</t>
    </rPh>
    <rPh sb="13" eb="15">
      <t>ダンチ</t>
    </rPh>
    <rPh sb="16" eb="18">
      <t>シュンコウ</t>
    </rPh>
    <rPh sb="18" eb="19">
      <t>シキ</t>
    </rPh>
    <rPh sb="20" eb="21">
      <t>オコナ</t>
    </rPh>
    <phoneticPr fontId="2"/>
  </si>
  <si>
    <t>名阪亀山・関工業団地</t>
    <phoneticPr fontId="2"/>
  </si>
  <si>
    <t>亀山宿・江戸の道整備事業の一環で、旧亀山城多門櫓周辺を整備する</t>
    <rPh sb="0" eb="2">
      <t>カメヤマ</t>
    </rPh>
    <rPh sb="2" eb="3">
      <t>シュク</t>
    </rPh>
    <rPh sb="4" eb="6">
      <t>エド</t>
    </rPh>
    <rPh sb="7" eb="8">
      <t>ミチ</t>
    </rPh>
    <rPh sb="8" eb="10">
      <t>セイビ</t>
    </rPh>
    <rPh sb="10" eb="12">
      <t>ジギョウ</t>
    </rPh>
    <rPh sb="13" eb="15">
      <t>イッカン</t>
    </rPh>
    <rPh sb="17" eb="18">
      <t>キュウ</t>
    </rPh>
    <rPh sb="18" eb="21">
      <t>カメヤマジョウ</t>
    </rPh>
    <rPh sb="21" eb="23">
      <t>タモン</t>
    </rPh>
    <rPh sb="23" eb="24">
      <t>ヤグラ</t>
    </rPh>
    <rPh sb="24" eb="26">
      <t>シュウヘン</t>
    </rPh>
    <rPh sb="27" eb="29">
      <t>セイビ</t>
    </rPh>
    <phoneticPr fontId="2"/>
  </si>
  <si>
    <t>亀田町に医療センター完成</t>
    <rPh sb="0" eb="2">
      <t>カメダ</t>
    </rPh>
    <rPh sb="2" eb="3">
      <t>マチ</t>
    </rPh>
    <phoneticPr fontId="2"/>
  </si>
  <si>
    <t>医療センター</t>
    <phoneticPr fontId="2"/>
  </si>
  <si>
    <t>日本の歴史の中の亀山／現代の亀山／教育と医療・福祉／医療センター</t>
    <rPh sb="26" eb="28">
      <t>イリョウ</t>
    </rPh>
    <phoneticPr fontId="2"/>
  </si>
  <si>
    <t>http://kameyamarekihaku.jp/kodomo/w_e_b/rekishi/gendai/kyoiku/page009.html</t>
  </si>
  <si>
    <t>医療センターの東に保健センター完成</t>
    <rPh sb="0" eb="2">
      <t>イリョウ</t>
    </rPh>
    <rPh sb="7" eb="8">
      <t>ヒガシ</t>
    </rPh>
    <phoneticPr fontId="2"/>
  </si>
  <si>
    <t>保健センター</t>
    <phoneticPr fontId="2"/>
  </si>
  <si>
    <t>中庄地区と布気・野村地区のほ場（圃場）整備が完成</t>
    <rPh sb="0" eb="1">
      <t>ナカ</t>
    </rPh>
    <rPh sb="1" eb="2">
      <t>ショウ</t>
    </rPh>
    <rPh sb="2" eb="4">
      <t>チク</t>
    </rPh>
    <rPh sb="5" eb="6">
      <t>ヌノ</t>
    </rPh>
    <rPh sb="6" eb="7">
      <t>キ</t>
    </rPh>
    <rPh sb="8" eb="10">
      <t>ノムラ</t>
    </rPh>
    <rPh sb="10" eb="12">
      <t>チク</t>
    </rPh>
    <rPh sb="14" eb="15">
      <t>ジョウ</t>
    </rPh>
    <rPh sb="16" eb="18">
      <t>ホジョウ</t>
    </rPh>
    <rPh sb="19" eb="21">
      <t>セイビ</t>
    </rPh>
    <rPh sb="22" eb="24">
      <t>カンセイ</t>
    </rPh>
    <phoneticPr fontId="2"/>
  </si>
  <si>
    <t>昼生・神辺・亀山西</t>
    <rPh sb="0" eb="2">
      <t>ヒルオ</t>
    </rPh>
    <rPh sb="3" eb="4">
      <t>カミ</t>
    </rPh>
    <rPh sb="4" eb="5">
      <t>ヘン</t>
    </rPh>
    <rPh sb="6" eb="8">
      <t>カメヤマ</t>
    </rPh>
    <rPh sb="8" eb="9">
      <t>ニシ</t>
    </rPh>
    <phoneticPr fontId="2"/>
  </si>
  <si>
    <t>中庄町・布気町・野村</t>
    <rPh sb="2" eb="3">
      <t>チョウ</t>
    </rPh>
    <rPh sb="6" eb="7">
      <t>チョウ</t>
    </rPh>
    <phoneticPr fontId="2"/>
  </si>
  <si>
    <t>中庄地区と布気・野村地区のほ場（圃場）</t>
    <phoneticPr fontId="2"/>
  </si>
  <si>
    <t>西丸の亀山西地区集会所と亀田の城北地区集会所が完成</t>
    <rPh sb="0" eb="1">
      <t>ニシ</t>
    </rPh>
    <rPh sb="1" eb="2">
      <t>マル</t>
    </rPh>
    <rPh sb="3" eb="5">
      <t>カメヤマ</t>
    </rPh>
    <rPh sb="5" eb="6">
      <t>ニシ</t>
    </rPh>
    <rPh sb="6" eb="8">
      <t>チク</t>
    </rPh>
    <rPh sb="8" eb="10">
      <t>シュウカイ</t>
    </rPh>
    <rPh sb="10" eb="11">
      <t>ジョ</t>
    </rPh>
    <rPh sb="12" eb="14">
      <t>カメダ</t>
    </rPh>
    <rPh sb="15" eb="17">
      <t>ジョウホク</t>
    </rPh>
    <rPh sb="17" eb="19">
      <t>チク</t>
    </rPh>
    <rPh sb="19" eb="21">
      <t>シュウカイ</t>
    </rPh>
    <rPh sb="21" eb="22">
      <t>ジョ</t>
    </rPh>
    <rPh sb="23" eb="25">
      <t>カンセイ</t>
    </rPh>
    <phoneticPr fontId="2"/>
  </si>
  <si>
    <t>西丸町・亀田町</t>
    <rPh sb="0" eb="3">
      <t>ニシマルチョウ</t>
    </rPh>
    <rPh sb="4" eb="7">
      <t>カメダチョウ</t>
    </rPh>
    <phoneticPr fontId="2"/>
  </si>
  <si>
    <t>亀山西地区集会所・城北地区集会所</t>
    <phoneticPr fontId="2"/>
  </si>
  <si>
    <t>昼生小の移転改築工事が完成</t>
    <rPh sb="0" eb="2">
      <t>ヒルオ</t>
    </rPh>
    <rPh sb="2" eb="3">
      <t>ショウ</t>
    </rPh>
    <rPh sb="4" eb="6">
      <t>イテン</t>
    </rPh>
    <rPh sb="6" eb="8">
      <t>カイチク</t>
    </rPh>
    <rPh sb="8" eb="10">
      <t>コウジ</t>
    </rPh>
    <rPh sb="11" eb="13">
      <t>カンセイ</t>
    </rPh>
    <phoneticPr fontId="2"/>
  </si>
  <si>
    <t>昼生小</t>
    <phoneticPr fontId="2"/>
  </si>
  <si>
    <t>学校のあゆみ／昼生小学校のれきし</t>
    <rPh sb="7" eb="8">
      <t>ヒル</t>
    </rPh>
    <rPh sb="8" eb="9">
      <t>オ</t>
    </rPh>
    <phoneticPr fontId="2"/>
  </si>
  <si>
    <t>http://kameyamarekihaku.jp/kodomo/w_e_b/ayumi/page014.html</t>
  </si>
  <si>
    <t>中の山と辺法寺北の防霜ファン組合、未設置の茶畑に防霜ファンを設置</t>
    <rPh sb="4" eb="7">
      <t>ヘンボウジ</t>
    </rPh>
    <rPh sb="7" eb="8">
      <t>キタ</t>
    </rPh>
    <rPh sb="9" eb="10">
      <t>フセ</t>
    </rPh>
    <rPh sb="10" eb="11">
      <t>シモ</t>
    </rPh>
    <rPh sb="14" eb="16">
      <t>クミアイ</t>
    </rPh>
    <rPh sb="17" eb="20">
      <t>ミセッチ</t>
    </rPh>
    <rPh sb="21" eb="23">
      <t>チャバタケ</t>
    </rPh>
    <rPh sb="24" eb="25">
      <t>ボウ</t>
    </rPh>
    <rPh sb="25" eb="26">
      <t>シモ</t>
    </rPh>
    <rPh sb="30" eb="32">
      <t>セッチ</t>
    </rPh>
    <phoneticPr fontId="2"/>
  </si>
  <si>
    <t>亀山東・野登</t>
    <rPh sb="0" eb="2">
      <t>カメヤマ</t>
    </rPh>
    <rPh sb="2" eb="3">
      <t>ヒガシ</t>
    </rPh>
    <rPh sb="4" eb="6">
      <t>ノノボリ</t>
    </rPh>
    <phoneticPr fontId="2"/>
  </si>
  <si>
    <t>椿世町・辺法寺町</t>
    <rPh sb="4" eb="7">
      <t>ヘンボウジ</t>
    </rPh>
    <rPh sb="7" eb="8">
      <t>チョウ</t>
    </rPh>
    <phoneticPr fontId="2"/>
  </si>
  <si>
    <t>両尾町平尾地内にテレビの共同アンテナを設置</t>
    <rPh sb="0" eb="3">
      <t>フタオチョウ</t>
    </rPh>
    <rPh sb="3" eb="5">
      <t>ヒラオ</t>
    </rPh>
    <rPh sb="5" eb="6">
      <t>チ</t>
    </rPh>
    <rPh sb="6" eb="7">
      <t>ナイ</t>
    </rPh>
    <rPh sb="12" eb="14">
      <t>キョウドウ</t>
    </rPh>
    <rPh sb="19" eb="21">
      <t>セッチ</t>
    </rPh>
    <phoneticPr fontId="2"/>
  </si>
  <si>
    <t>共同アンテナ</t>
    <phoneticPr fontId="2"/>
  </si>
  <si>
    <t>ＪＲバス路線の白木線、小川線が市が委託した三交バスに変わる
亀山駅を起点として、野村・道野を経由する右回り、亀田・道野を経由する左回りの循環方式で一日七循環半の運行</t>
    <rPh sb="4" eb="6">
      <t>ロセン</t>
    </rPh>
    <rPh sb="7" eb="9">
      <t>シラキ</t>
    </rPh>
    <rPh sb="9" eb="10">
      <t>セン</t>
    </rPh>
    <rPh sb="11" eb="13">
      <t>オガワ</t>
    </rPh>
    <rPh sb="13" eb="14">
      <t>セン</t>
    </rPh>
    <rPh sb="15" eb="16">
      <t>シ</t>
    </rPh>
    <rPh sb="17" eb="19">
      <t>イタク</t>
    </rPh>
    <rPh sb="21" eb="22">
      <t>サン</t>
    </rPh>
    <rPh sb="22" eb="23">
      <t>コウ</t>
    </rPh>
    <rPh sb="26" eb="27">
      <t>カ</t>
    </rPh>
    <rPh sb="30" eb="33">
      <t>カメヤマエキ</t>
    </rPh>
    <rPh sb="34" eb="36">
      <t>キテン</t>
    </rPh>
    <rPh sb="40" eb="42">
      <t>ノムラ</t>
    </rPh>
    <rPh sb="43" eb="44">
      <t>ミチ</t>
    </rPh>
    <rPh sb="44" eb="45">
      <t>ノ</t>
    </rPh>
    <rPh sb="46" eb="48">
      <t>ケイユ</t>
    </rPh>
    <rPh sb="50" eb="52">
      <t>ミギマワ</t>
    </rPh>
    <rPh sb="54" eb="56">
      <t>カメダ</t>
    </rPh>
    <rPh sb="57" eb="58">
      <t>ミチ</t>
    </rPh>
    <rPh sb="58" eb="59">
      <t>ノ</t>
    </rPh>
    <rPh sb="60" eb="62">
      <t>ケイユ</t>
    </rPh>
    <rPh sb="64" eb="66">
      <t>ヒダリマワ</t>
    </rPh>
    <rPh sb="68" eb="70">
      <t>ジュンカン</t>
    </rPh>
    <rPh sb="70" eb="72">
      <t>ホウシキ</t>
    </rPh>
    <rPh sb="73" eb="75">
      <t>イチニチ</t>
    </rPh>
    <rPh sb="75" eb="76">
      <t>ナナ</t>
    </rPh>
    <rPh sb="76" eb="78">
      <t>ジュンカン</t>
    </rPh>
    <rPh sb="78" eb="79">
      <t>ハン</t>
    </rPh>
    <rPh sb="80" eb="82">
      <t>ウンコウ</t>
    </rPh>
    <phoneticPr fontId="2"/>
  </si>
  <si>
    <t>亀山西・神辺・白川</t>
    <rPh sb="0" eb="2">
      <t>カメヤマ</t>
    </rPh>
    <rPh sb="2" eb="3">
      <t>ニシ</t>
    </rPh>
    <rPh sb="4" eb="5">
      <t>カミ</t>
    </rPh>
    <rPh sb="5" eb="6">
      <t>ヘン</t>
    </rPh>
    <rPh sb="7" eb="9">
      <t>シラカワ</t>
    </rPh>
    <phoneticPr fontId="2"/>
  </si>
  <si>
    <t>委託三交バス</t>
    <phoneticPr fontId="2"/>
  </si>
  <si>
    <t>日本の歴史の中の亀山／現代の亀山／交通と通信／バス</t>
    <phoneticPr fontId="2"/>
  </si>
  <si>
    <t>市の公文書のあて名につける敬称を、例外を除き「様」に統一（旧亀山市）</t>
    <rPh sb="0" eb="1">
      <t>シ</t>
    </rPh>
    <rPh sb="2" eb="5">
      <t>コウブンショ</t>
    </rPh>
    <rPh sb="8" eb="9">
      <t>ナ</t>
    </rPh>
    <rPh sb="13" eb="15">
      <t>ケイショウ</t>
    </rPh>
    <rPh sb="17" eb="19">
      <t>レイガイ</t>
    </rPh>
    <rPh sb="20" eb="21">
      <t>ノゾ</t>
    </rPh>
    <rPh sb="23" eb="24">
      <t>サマ</t>
    </rPh>
    <rPh sb="26" eb="28">
      <t>トウイツ</t>
    </rPh>
    <rPh sb="29" eb="30">
      <t>キュウ</t>
    </rPh>
    <rPh sb="30" eb="33">
      <t>カメヤマシ</t>
    </rPh>
    <phoneticPr fontId="2"/>
  </si>
  <si>
    <t>市、７5歳以上の市民にバス乗車券を交付（旧亀山市）</t>
    <rPh sb="0" eb="1">
      <t>シ</t>
    </rPh>
    <rPh sb="4" eb="5">
      <t>サイ</t>
    </rPh>
    <rPh sb="5" eb="7">
      <t>イジョウ</t>
    </rPh>
    <rPh sb="8" eb="10">
      <t>シミン</t>
    </rPh>
    <rPh sb="13" eb="15">
      <t>ジョウシャ</t>
    </rPh>
    <rPh sb="15" eb="16">
      <t>ケン</t>
    </rPh>
    <rPh sb="17" eb="19">
      <t>コウフ</t>
    </rPh>
    <rPh sb="20" eb="21">
      <t>キュウ</t>
    </rPh>
    <rPh sb="21" eb="24">
      <t>カメヤマシ</t>
    </rPh>
    <phoneticPr fontId="2"/>
  </si>
  <si>
    <t>市身体障害者ガイドヘルパー派遣事業発足（旧亀山市）</t>
    <rPh sb="0" eb="1">
      <t>シ</t>
    </rPh>
    <rPh sb="1" eb="3">
      <t>シンタイ</t>
    </rPh>
    <rPh sb="3" eb="6">
      <t>ショウガイシャ</t>
    </rPh>
    <rPh sb="13" eb="15">
      <t>ハケン</t>
    </rPh>
    <rPh sb="15" eb="17">
      <t>ジギョウ</t>
    </rPh>
    <rPh sb="17" eb="19">
      <t>ホッソク</t>
    </rPh>
    <rPh sb="20" eb="21">
      <t>キュウ</t>
    </rPh>
    <rPh sb="21" eb="24">
      <t>カメヤマシ</t>
    </rPh>
    <phoneticPr fontId="2"/>
  </si>
  <si>
    <t>住山町に特別養護老人ホーム「安全の里」が開所
１０月からデイサービスセンターを開設
設置・運営は社会福祉法人「安全福祉会」</t>
    <rPh sb="0" eb="1">
      <t>ス</t>
    </rPh>
    <rPh sb="1" eb="2">
      <t>ヤマ</t>
    </rPh>
    <rPh sb="2" eb="3">
      <t>マチ</t>
    </rPh>
    <rPh sb="4" eb="6">
      <t>トクベツ</t>
    </rPh>
    <rPh sb="6" eb="8">
      <t>ヨウゴ</t>
    </rPh>
    <rPh sb="8" eb="10">
      <t>ロウジン</t>
    </rPh>
    <rPh sb="14" eb="16">
      <t>アンゼン</t>
    </rPh>
    <rPh sb="17" eb="18">
      <t>サト</t>
    </rPh>
    <rPh sb="20" eb="22">
      <t>カイショ</t>
    </rPh>
    <rPh sb="25" eb="26">
      <t>ガツ</t>
    </rPh>
    <rPh sb="39" eb="41">
      <t>カイセツ</t>
    </rPh>
    <rPh sb="42" eb="44">
      <t>セッチ</t>
    </rPh>
    <rPh sb="45" eb="47">
      <t>ウンエイ</t>
    </rPh>
    <rPh sb="48" eb="50">
      <t>シャカイ</t>
    </rPh>
    <rPh sb="50" eb="52">
      <t>フクシ</t>
    </rPh>
    <rPh sb="52" eb="54">
      <t>ホウジン</t>
    </rPh>
    <rPh sb="55" eb="57">
      <t>アンゼン</t>
    </rPh>
    <rPh sb="57" eb="59">
      <t>フクシ</t>
    </rPh>
    <rPh sb="59" eb="60">
      <t>カイ</t>
    </rPh>
    <phoneticPr fontId="2"/>
  </si>
  <si>
    <t>安全の里</t>
    <phoneticPr fontId="2"/>
  </si>
  <si>
    <t>日本の歴史の中の亀山／現代の亀山／教育と医療・福祉／老人ホーム</t>
    <rPh sb="26" eb="28">
      <t>ロウジン</t>
    </rPh>
    <phoneticPr fontId="2"/>
  </si>
  <si>
    <t>http://kameyamarekihaku.jp/kodomo/w_e_b/rekishi/gendai/kyoiku/page010.html</t>
  </si>
  <si>
    <t>『亀山のあゆみ』P.378・年表</t>
    <phoneticPr fontId="2"/>
  </si>
  <si>
    <t>みずほ台幼稚園が開園</t>
    <rPh sb="3" eb="4">
      <t>ダイ</t>
    </rPh>
    <rPh sb="4" eb="7">
      <t>ヨウチエン</t>
    </rPh>
    <rPh sb="8" eb="10">
      <t>カイエン</t>
    </rPh>
    <phoneticPr fontId="2"/>
  </si>
  <si>
    <t>みずほ台幼稚園</t>
    <phoneticPr fontId="2"/>
  </si>
  <si>
    <t>『亀山のあゆみ』P.394・年表</t>
    <phoneticPr fontId="2"/>
  </si>
  <si>
    <t>安坂山町と関町坂下を結ぶ県営事業、峰越連絡林道鈴鹿南線が完成</t>
    <rPh sb="0" eb="4">
      <t>アサカヤマチョウ</t>
    </rPh>
    <rPh sb="5" eb="7">
      <t>セキチョウ</t>
    </rPh>
    <rPh sb="7" eb="9">
      <t>サカシタ</t>
    </rPh>
    <rPh sb="10" eb="11">
      <t>ムス</t>
    </rPh>
    <rPh sb="12" eb="14">
      <t>ケンエイ</t>
    </rPh>
    <rPh sb="14" eb="16">
      <t>ジギョウ</t>
    </rPh>
    <rPh sb="17" eb="18">
      <t>ミネ</t>
    </rPh>
    <rPh sb="18" eb="19">
      <t>コシ</t>
    </rPh>
    <rPh sb="19" eb="21">
      <t>レンラク</t>
    </rPh>
    <rPh sb="21" eb="23">
      <t>リンドウ</t>
    </rPh>
    <rPh sb="23" eb="25">
      <t>スズカ</t>
    </rPh>
    <rPh sb="25" eb="26">
      <t>ミナミ</t>
    </rPh>
    <rPh sb="26" eb="27">
      <t>セン</t>
    </rPh>
    <rPh sb="28" eb="30">
      <t>カンセイ</t>
    </rPh>
    <phoneticPr fontId="2"/>
  </si>
  <si>
    <t>野登・関</t>
    <rPh sb="0" eb="2">
      <t>ノノボリ</t>
    </rPh>
    <rPh sb="3" eb="4">
      <t>セキ</t>
    </rPh>
    <phoneticPr fontId="2"/>
  </si>
  <si>
    <t>峰越連絡林道鈴鹿南線</t>
    <phoneticPr fontId="2"/>
  </si>
  <si>
    <t>和田から栄町にわたる「西野遺跡」発掘調査終わる
８世紀代の月面硯のほか７世紀～１３世紀前半にかけての山茶碗、土師質小皿など出土</t>
    <rPh sb="0" eb="2">
      <t>ワダ</t>
    </rPh>
    <rPh sb="4" eb="5">
      <t>サカエ</t>
    </rPh>
    <rPh sb="5" eb="6">
      <t>マチ</t>
    </rPh>
    <rPh sb="11" eb="13">
      <t>ニシノ</t>
    </rPh>
    <rPh sb="13" eb="15">
      <t>イセキ</t>
    </rPh>
    <rPh sb="16" eb="18">
      <t>ハックツ</t>
    </rPh>
    <rPh sb="18" eb="20">
      <t>チョウサ</t>
    </rPh>
    <rPh sb="20" eb="21">
      <t>オ</t>
    </rPh>
    <rPh sb="25" eb="27">
      <t>セイキ</t>
    </rPh>
    <rPh sb="27" eb="28">
      <t>ダイ</t>
    </rPh>
    <rPh sb="29" eb="31">
      <t>ゲツメン</t>
    </rPh>
    <rPh sb="31" eb="32">
      <t>スズリ</t>
    </rPh>
    <rPh sb="36" eb="38">
      <t>セイキ</t>
    </rPh>
    <rPh sb="41" eb="43">
      <t>セイキ</t>
    </rPh>
    <rPh sb="43" eb="45">
      <t>ゼンハン</t>
    </rPh>
    <rPh sb="50" eb="51">
      <t>ヤマ</t>
    </rPh>
    <rPh sb="51" eb="53">
      <t>チャワン</t>
    </rPh>
    <rPh sb="54" eb="56">
      <t>ハジ</t>
    </rPh>
    <rPh sb="56" eb="57">
      <t>シツ</t>
    </rPh>
    <rPh sb="57" eb="59">
      <t>コザラ</t>
    </rPh>
    <rPh sb="61" eb="63">
      <t>シュツド</t>
    </rPh>
    <phoneticPr fontId="2"/>
  </si>
  <si>
    <t>井田川・亀山東</t>
    <rPh sb="0" eb="3">
      <t>イダガワ</t>
    </rPh>
    <rPh sb="4" eb="6">
      <t>カメヤマ</t>
    </rPh>
    <rPh sb="6" eb="7">
      <t>ヒガシ</t>
    </rPh>
    <phoneticPr fontId="2"/>
  </si>
  <si>
    <t>和田町・栄町</t>
    <rPh sb="0" eb="3">
      <t>ワダチョウ</t>
    </rPh>
    <rPh sb="4" eb="6">
      <t>サカエマチ</t>
    </rPh>
    <phoneticPr fontId="2"/>
  </si>
  <si>
    <t>西野遺跡出土品</t>
    <rPh sb="0" eb="2">
      <t>ニシノ</t>
    </rPh>
    <rPh sb="2" eb="4">
      <t>イセキ</t>
    </rPh>
    <rPh sb="4" eb="7">
      <t>シュツドヒン</t>
    </rPh>
    <phoneticPr fontId="2"/>
  </si>
  <si>
    <t>『亀山のあゆみ』年表
『西野遺跡・柴戸遺跡Ⅱ』
『亀山市史』考古分野</t>
    <rPh sb="12" eb="14">
      <t>ニシノ</t>
    </rPh>
    <rPh sb="14" eb="16">
      <t>イセキ</t>
    </rPh>
    <rPh sb="17" eb="18">
      <t>シバ</t>
    </rPh>
    <rPh sb="18" eb="19">
      <t>ト</t>
    </rPh>
    <rPh sb="19" eb="21">
      <t>イセキ</t>
    </rPh>
    <rPh sb="24" eb="34">
      <t>カ</t>
    </rPh>
    <phoneticPr fontId="2"/>
  </si>
  <si>
    <t>関西線亀山～加茂間、朝夕のラッシュを除き、ワンマン運転となる</t>
    <rPh sb="0" eb="3">
      <t>カンサイセン</t>
    </rPh>
    <rPh sb="3" eb="5">
      <t>カメヤマ</t>
    </rPh>
    <rPh sb="6" eb="8">
      <t>カモ</t>
    </rPh>
    <rPh sb="8" eb="9">
      <t>アイダ</t>
    </rPh>
    <rPh sb="10" eb="12">
      <t>アサユウ</t>
    </rPh>
    <rPh sb="18" eb="19">
      <t>ノゾ</t>
    </rPh>
    <rPh sb="25" eb="27">
      <t>ウンテン</t>
    </rPh>
    <phoneticPr fontId="2"/>
  </si>
  <si>
    <t>関西線亀山～加茂間</t>
    <phoneticPr fontId="2"/>
  </si>
  <si>
    <t>白木町に亀山きのこ組合の「しいたけ栽培施設」（菌床栽培方式）が完成</t>
    <rPh sb="0" eb="2">
      <t>シラキ</t>
    </rPh>
    <rPh sb="2" eb="3">
      <t>マチ</t>
    </rPh>
    <rPh sb="4" eb="6">
      <t>カメヤマ</t>
    </rPh>
    <rPh sb="9" eb="11">
      <t>クミアイ</t>
    </rPh>
    <rPh sb="17" eb="19">
      <t>サイバイ</t>
    </rPh>
    <rPh sb="19" eb="21">
      <t>シセツ</t>
    </rPh>
    <rPh sb="23" eb="24">
      <t>キン</t>
    </rPh>
    <rPh sb="24" eb="25">
      <t>トコ</t>
    </rPh>
    <rPh sb="25" eb="27">
      <t>サイバイ</t>
    </rPh>
    <rPh sb="27" eb="29">
      <t>ホウシキ</t>
    </rPh>
    <rPh sb="31" eb="33">
      <t>カンセイ</t>
    </rPh>
    <phoneticPr fontId="2"/>
  </si>
  <si>
    <t>しいたけ栽培施設</t>
    <phoneticPr fontId="2"/>
  </si>
  <si>
    <t>三重県立美術館で『榊原一廣とその周辺展』開催
榊原一廣は亀山（南野）出身の水彩画家</t>
    <rPh sb="0" eb="4">
      <t>ミエケンリツ</t>
    </rPh>
    <rPh sb="4" eb="7">
      <t>ビジュツカン</t>
    </rPh>
    <rPh sb="9" eb="11">
      <t>サカキバラ</t>
    </rPh>
    <rPh sb="11" eb="12">
      <t>イチ</t>
    </rPh>
    <rPh sb="12" eb="13">
      <t>ヒロシ</t>
    </rPh>
    <rPh sb="16" eb="18">
      <t>シュウヘン</t>
    </rPh>
    <rPh sb="18" eb="19">
      <t>テン</t>
    </rPh>
    <rPh sb="20" eb="22">
      <t>カイサイ</t>
    </rPh>
    <rPh sb="23" eb="25">
      <t>サカキバラ</t>
    </rPh>
    <rPh sb="25" eb="26">
      <t>イチ</t>
    </rPh>
    <rPh sb="26" eb="27">
      <t>ヒロシ</t>
    </rPh>
    <rPh sb="28" eb="30">
      <t>カメヤマ</t>
    </rPh>
    <rPh sb="31" eb="33">
      <t>ミナミノ</t>
    </rPh>
    <rPh sb="34" eb="36">
      <t>シュッシン</t>
    </rPh>
    <rPh sb="37" eb="39">
      <t>スイサイ</t>
    </rPh>
    <rPh sb="39" eb="41">
      <t>ガカ</t>
    </rPh>
    <phoneticPr fontId="2"/>
  </si>
  <si>
    <t>南野町</t>
    <rPh sb="0" eb="3">
      <t>ミナミノチョウ</t>
    </rPh>
    <phoneticPr fontId="2"/>
  </si>
  <si>
    <t>榊原一廣</t>
    <phoneticPr fontId="2"/>
  </si>
  <si>
    <t>榊原一廣「カーニュ風景」</t>
    <rPh sb="9" eb="11">
      <t>フウケイ</t>
    </rPh>
    <phoneticPr fontId="2"/>
  </si>
  <si>
    <t>亀山城築城400年記念行事</t>
    <rPh sb="0" eb="2">
      <t>カメヤマ</t>
    </rPh>
    <rPh sb="2" eb="3">
      <t>シロ</t>
    </rPh>
    <rPh sb="3" eb="5">
      <t>チクジョウ</t>
    </rPh>
    <rPh sb="8" eb="9">
      <t>ネン</t>
    </rPh>
    <rPh sb="9" eb="11">
      <t>キネン</t>
    </rPh>
    <rPh sb="11" eb="13">
      <t>ギョウジ</t>
    </rPh>
    <phoneticPr fontId="2"/>
  </si>
  <si>
    <t>亀山青年会議所が「風の祭やまとたける」を文化会館で開く</t>
    <rPh sb="0" eb="2">
      <t>カメヤマ</t>
    </rPh>
    <rPh sb="2" eb="4">
      <t>セイネン</t>
    </rPh>
    <rPh sb="4" eb="5">
      <t>カイ</t>
    </rPh>
    <rPh sb="5" eb="6">
      <t>ギ</t>
    </rPh>
    <rPh sb="6" eb="7">
      <t>ショ</t>
    </rPh>
    <rPh sb="9" eb="10">
      <t>カゼ</t>
    </rPh>
    <rPh sb="11" eb="12">
      <t>マツ</t>
    </rPh>
    <rPh sb="20" eb="22">
      <t>ブンカ</t>
    </rPh>
    <rPh sb="22" eb="24">
      <t>カイカン</t>
    </rPh>
    <rPh sb="25" eb="26">
      <t>ヒラ</t>
    </rPh>
    <phoneticPr fontId="2"/>
  </si>
  <si>
    <t>国道1号亀山バイパス予定地の羽若町の糀屋垣内遺跡調査完了
奈良時代から室町時代の掘立柱建物群が見つかる</t>
    <rPh sb="0" eb="2">
      <t>コクドウ</t>
    </rPh>
    <rPh sb="3" eb="4">
      <t>ゴウ</t>
    </rPh>
    <rPh sb="4" eb="6">
      <t>カメヤマ</t>
    </rPh>
    <rPh sb="10" eb="12">
      <t>ヨテイ</t>
    </rPh>
    <rPh sb="12" eb="13">
      <t>チ</t>
    </rPh>
    <rPh sb="14" eb="17">
      <t>ハワカチョウ</t>
    </rPh>
    <rPh sb="18" eb="19">
      <t>コウジ</t>
    </rPh>
    <rPh sb="19" eb="20">
      <t>ヤ</t>
    </rPh>
    <rPh sb="20" eb="21">
      <t>カキ</t>
    </rPh>
    <rPh sb="21" eb="22">
      <t>ウチ</t>
    </rPh>
    <rPh sb="22" eb="24">
      <t>イセキ</t>
    </rPh>
    <rPh sb="24" eb="26">
      <t>チョウサ</t>
    </rPh>
    <rPh sb="26" eb="28">
      <t>カンリョウ</t>
    </rPh>
    <rPh sb="29" eb="31">
      <t>ナラ</t>
    </rPh>
    <rPh sb="31" eb="33">
      <t>ジダイ</t>
    </rPh>
    <rPh sb="35" eb="37">
      <t>ムロマチ</t>
    </rPh>
    <rPh sb="37" eb="39">
      <t>ジダイ</t>
    </rPh>
    <rPh sb="40" eb="42">
      <t>ホッタテ</t>
    </rPh>
    <rPh sb="42" eb="43">
      <t>ハシラ</t>
    </rPh>
    <rPh sb="43" eb="45">
      <t>タテモノ</t>
    </rPh>
    <rPh sb="45" eb="46">
      <t>グン</t>
    </rPh>
    <rPh sb="47" eb="48">
      <t>ミ</t>
    </rPh>
    <phoneticPr fontId="2"/>
  </si>
  <si>
    <t>国道1号亀山バイパス川合～羽若間が部分開通</t>
    <rPh sb="0" eb="2">
      <t>コクドウ</t>
    </rPh>
    <rPh sb="3" eb="4">
      <t>ゴウ</t>
    </rPh>
    <rPh sb="4" eb="6">
      <t>カメヤマ</t>
    </rPh>
    <rPh sb="10" eb="12">
      <t>カワイ</t>
    </rPh>
    <rPh sb="13" eb="14">
      <t>ハネ</t>
    </rPh>
    <rPh sb="14" eb="15">
      <t>ワカ</t>
    </rPh>
    <rPh sb="15" eb="16">
      <t>アイダ</t>
    </rPh>
    <rPh sb="17" eb="19">
      <t>ブブン</t>
    </rPh>
    <rPh sb="19" eb="21">
      <t>カイツウ</t>
    </rPh>
    <phoneticPr fontId="2"/>
  </si>
  <si>
    <t>国道1号亀山バイパス</t>
    <phoneticPr fontId="2"/>
  </si>
  <si>
    <t>平成2</t>
    <rPh sb="0" eb="2">
      <t>ヘイセイ</t>
    </rPh>
    <phoneticPr fontId="2"/>
  </si>
  <si>
    <t>関宿ふるさと会館・関町商工会館竣工</t>
    <rPh sb="0" eb="1">
      <t>セキ</t>
    </rPh>
    <rPh sb="1" eb="2">
      <t>ヤド</t>
    </rPh>
    <rPh sb="6" eb="8">
      <t>カイカン</t>
    </rPh>
    <rPh sb="9" eb="10">
      <t>セキ</t>
    </rPh>
    <rPh sb="10" eb="11">
      <t>マチ</t>
    </rPh>
    <rPh sb="11" eb="13">
      <t>ショウコウ</t>
    </rPh>
    <rPh sb="13" eb="15">
      <t>カイカン</t>
    </rPh>
    <rPh sb="15" eb="17">
      <t>シュンコウ</t>
    </rPh>
    <phoneticPr fontId="2"/>
  </si>
  <si>
    <t>平成3</t>
    <phoneticPr fontId="2"/>
  </si>
  <si>
    <t>昭和60年から調査の国道１号亀山バイパス予定地の大鼻遺跡の発掘調査が第五次で終了
縄文時代早期の押型文土器と竪穴住居、平安・鎌倉時代の掘立柱建物を確認</t>
    <rPh sb="0" eb="2">
      <t>ショウワ</t>
    </rPh>
    <rPh sb="4" eb="5">
      <t>ネン</t>
    </rPh>
    <rPh sb="7" eb="9">
      <t>チョウサ</t>
    </rPh>
    <rPh sb="10" eb="12">
      <t>コクドウ</t>
    </rPh>
    <rPh sb="13" eb="14">
      <t>ゴウ</t>
    </rPh>
    <rPh sb="14" eb="16">
      <t>カメヤマ</t>
    </rPh>
    <rPh sb="20" eb="22">
      <t>ヨテイ</t>
    </rPh>
    <rPh sb="22" eb="23">
      <t>チ</t>
    </rPh>
    <rPh sb="24" eb="25">
      <t>オオ</t>
    </rPh>
    <rPh sb="25" eb="26">
      <t>ハナ</t>
    </rPh>
    <rPh sb="26" eb="28">
      <t>イセキ</t>
    </rPh>
    <rPh sb="29" eb="31">
      <t>ハックツ</t>
    </rPh>
    <rPh sb="31" eb="33">
      <t>チョウサ</t>
    </rPh>
    <rPh sb="34" eb="35">
      <t>ダイ</t>
    </rPh>
    <rPh sb="35" eb="37">
      <t>ゴジ</t>
    </rPh>
    <rPh sb="38" eb="40">
      <t>シュウリョウ</t>
    </rPh>
    <rPh sb="41" eb="43">
      <t>ジョウモン</t>
    </rPh>
    <rPh sb="43" eb="45">
      <t>ジダイ</t>
    </rPh>
    <rPh sb="45" eb="47">
      <t>ソウキ</t>
    </rPh>
    <rPh sb="48" eb="49">
      <t>オ</t>
    </rPh>
    <rPh sb="49" eb="50">
      <t>カタ</t>
    </rPh>
    <rPh sb="50" eb="51">
      <t>モン</t>
    </rPh>
    <rPh sb="51" eb="53">
      <t>ドキ</t>
    </rPh>
    <rPh sb="54" eb="56">
      <t>タテアナ</t>
    </rPh>
    <rPh sb="56" eb="58">
      <t>ジュウキョ</t>
    </rPh>
    <rPh sb="59" eb="61">
      <t>ヘイアン</t>
    </rPh>
    <rPh sb="62" eb="64">
      <t>カマクラ</t>
    </rPh>
    <rPh sb="64" eb="66">
      <t>ジダイ</t>
    </rPh>
    <rPh sb="67" eb="69">
      <t>ホッタテ</t>
    </rPh>
    <rPh sb="69" eb="70">
      <t>ハシラ</t>
    </rPh>
    <rPh sb="70" eb="72">
      <t>タテモノ</t>
    </rPh>
    <rPh sb="73" eb="75">
      <t>カクニン</t>
    </rPh>
    <phoneticPr fontId="2"/>
  </si>
  <si>
    <t>楠平尾町に市内で二番目の農村公園ができる</t>
    <rPh sb="0" eb="4">
      <t>クスビラオチョウ</t>
    </rPh>
    <rPh sb="5" eb="7">
      <t>シナイ</t>
    </rPh>
    <rPh sb="8" eb="11">
      <t>ニバンメ</t>
    </rPh>
    <rPh sb="12" eb="14">
      <t>ノウソン</t>
    </rPh>
    <rPh sb="14" eb="16">
      <t>コウエン</t>
    </rPh>
    <phoneticPr fontId="2"/>
  </si>
  <si>
    <t>楠平尾町</t>
    <phoneticPr fontId="2"/>
  </si>
  <si>
    <t>農村公園</t>
    <phoneticPr fontId="2"/>
  </si>
  <si>
    <t>『亀山のあゆみ』P.324・年表</t>
    <phoneticPr fontId="2"/>
  </si>
  <si>
    <t>西丸町の加藤家長屋門修復工事完成</t>
    <rPh sb="0" eb="2">
      <t>ニシマル</t>
    </rPh>
    <rPh sb="2" eb="3">
      <t>チョウ</t>
    </rPh>
    <rPh sb="4" eb="6">
      <t>カトウ</t>
    </rPh>
    <rPh sb="6" eb="7">
      <t>ケ</t>
    </rPh>
    <rPh sb="7" eb="9">
      <t>ナガヤ</t>
    </rPh>
    <rPh sb="9" eb="10">
      <t>モン</t>
    </rPh>
    <rPh sb="10" eb="12">
      <t>シュウフク</t>
    </rPh>
    <rPh sb="12" eb="14">
      <t>コウジ</t>
    </rPh>
    <rPh sb="14" eb="16">
      <t>カンセイ</t>
    </rPh>
    <phoneticPr fontId="2"/>
  </si>
  <si>
    <t>侍屋敷</t>
    <phoneticPr fontId="2"/>
  </si>
  <si>
    <t>『亀山のあゆみ』年表
『加藤家長屋門修理工事報告書』</t>
    <rPh sb="12" eb="14">
      <t>カトウ</t>
    </rPh>
    <rPh sb="14" eb="15">
      <t>ケ</t>
    </rPh>
    <rPh sb="15" eb="17">
      <t>ナガヤ</t>
    </rPh>
    <rPh sb="17" eb="18">
      <t>モン</t>
    </rPh>
    <rPh sb="18" eb="20">
      <t>シュウリ</t>
    </rPh>
    <rPh sb="20" eb="22">
      <t>コウジ</t>
    </rPh>
    <rPh sb="22" eb="25">
      <t>ホウコクショ</t>
    </rPh>
    <phoneticPr fontId="2"/>
  </si>
  <si>
    <t>野村地区集会所完成</t>
    <rPh sb="0" eb="2">
      <t>ノムラ</t>
    </rPh>
    <rPh sb="2" eb="4">
      <t>チク</t>
    </rPh>
    <rPh sb="4" eb="6">
      <t>シュウカイ</t>
    </rPh>
    <rPh sb="6" eb="7">
      <t>ジョ</t>
    </rPh>
    <rPh sb="7" eb="9">
      <t>カンセイ</t>
    </rPh>
    <phoneticPr fontId="2"/>
  </si>
  <si>
    <t>野村</t>
    <phoneticPr fontId="2"/>
  </si>
  <si>
    <t>野村地区集会所</t>
    <phoneticPr fontId="2"/>
  </si>
  <si>
    <t>石水渓バンガロー完成</t>
    <rPh sb="0" eb="1">
      <t>イシ</t>
    </rPh>
    <rPh sb="1" eb="2">
      <t>ミズ</t>
    </rPh>
    <rPh sb="2" eb="3">
      <t>ケイ</t>
    </rPh>
    <rPh sb="8" eb="10">
      <t>カンセイ</t>
    </rPh>
    <phoneticPr fontId="2"/>
  </si>
  <si>
    <t>安坂山町</t>
    <rPh sb="0" eb="4">
      <t>アサカヤマチョウ</t>
    </rPh>
    <phoneticPr fontId="2"/>
  </si>
  <si>
    <t>石水渓</t>
    <phoneticPr fontId="2"/>
  </si>
  <si>
    <t>ふるさと特別対策事業で、亀山城跡に21メートルの白壁土塀を復元</t>
    <rPh sb="4" eb="6">
      <t>トクベツ</t>
    </rPh>
    <rPh sb="6" eb="8">
      <t>タイサク</t>
    </rPh>
    <rPh sb="8" eb="10">
      <t>ジギョウ</t>
    </rPh>
    <rPh sb="12" eb="14">
      <t>カメヤマ</t>
    </rPh>
    <rPh sb="14" eb="15">
      <t>シロ</t>
    </rPh>
    <rPh sb="15" eb="16">
      <t>アト</t>
    </rPh>
    <rPh sb="24" eb="26">
      <t>シラカベ</t>
    </rPh>
    <rPh sb="26" eb="28">
      <t>ドベイ</t>
    </rPh>
    <rPh sb="29" eb="31">
      <t>フクゲン</t>
    </rPh>
    <phoneticPr fontId="2"/>
  </si>
  <si>
    <t>『亀山のあゆみ』年表
『亀山城本丸跡』</t>
    <rPh sb="12" eb="15">
      <t>カメヤマジョウ</t>
    </rPh>
    <rPh sb="15" eb="17">
      <t>ホンマル</t>
    </rPh>
    <rPh sb="17" eb="18">
      <t>アト</t>
    </rPh>
    <phoneticPr fontId="2"/>
  </si>
  <si>
    <t>亀山中学がパソコン21台を導入。実際の使用は、教室の改造が終わる夏休み後、授業での本格的使用は平成５年度からになる</t>
    <rPh sb="0" eb="2">
      <t>カメヤマ</t>
    </rPh>
    <rPh sb="2" eb="4">
      <t>チュウガク</t>
    </rPh>
    <rPh sb="11" eb="12">
      <t>ダイ</t>
    </rPh>
    <rPh sb="13" eb="15">
      <t>ドウニュウ</t>
    </rPh>
    <rPh sb="16" eb="18">
      <t>ジッサイ</t>
    </rPh>
    <rPh sb="19" eb="21">
      <t>シヨウ</t>
    </rPh>
    <rPh sb="23" eb="25">
      <t>キョウシツ</t>
    </rPh>
    <rPh sb="26" eb="28">
      <t>カイゾウ</t>
    </rPh>
    <rPh sb="29" eb="30">
      <t>オ</t>
    </rPh>
    <rPh sb="32" eb="34">
      <t>ナツヤス</t>
    </rPh>
    <rPh sb="35" eb="36">
      <t>ゴ</t>
    </rPh>
    <rPh sb="37" eb="39">
      <t>ジュギョウ</t>
    </rPh>
    <rPh sb="41" eb="44">
      <t>ホンカクテキ</t>
    </rPh>
    <rPh sb="44" eb="46">
      <t>シヨウ</t>
    </rPh>
    <rPh sb="47" eb="49">
      <t>ヘイセイ</t>
    </rPh>
    <rPh sb="50" eb="52">
      <t>ネンド</t>
    </rPh>
    <phoneticPr fontId="2"/>
  </si>
  <si>
    <t>亀山中学校</t>
    <rPh sb="4" eb="5">
      <t>コウ</t>
    </rPh>
    <phoneticPr fontId="2"/>
  </si>
  <si>
    <t>学校のあゆみ／亀山中学校のれきし</t>
    <rPh sb="7" eb="9">
      <t>カメヤマ</t>
    </rPh>
    <rPh sb="9" eb="10">
      <t>チュウ</t>
    </rPh>
    <phoneticPr fontId="2"/>
  </si>
  <si>
    <t>『亀山のあゆみ』P.390・年表</t>
    <phoneticPr fontId="2"/>
  </si>
  <si>
    <t>市、6ヵ月児の育児相談を開始（旧亀山市）</t>
    <rPh sb="0" eb="1">
      <t>シ</t>
    </rPh>
    <rPh sb="4" eb="5">
      <t>ゲツ</t>
    </rPh>
    <rPh sb="5" eb="6">
      <t>コ</t>
    </rPh>
    <rPh sb="7" eb="9">
      <t>イクジ</t>
    </rPh>
    <rPh sb="9" eb="11">
      <t>ソウダン</t>
    </rPh>
    <rPh sb="12" eb="14">
      <t>カイシ</t>
    </rPh>
    <rPh sb="15" eb="16">
      <t>キュウ</t>
    </rPh>
    <rPh sb="16" eb="19">
      <t>カメヤマシ</t>
    </rPh>
    <phoneticPr fontId="2"/>
  </si>
  <si>
    <t>地域交通安全活動推進委員を設置</t>
    <rPh sb="0" eb="2">
      <t>チイキ</t>
    </rPh>
    <rPh sb="2" eb="4">
      <t>コウツウ</t>
    </rPh>
    <rPh sb="4" eb="6">
      <t>アンゼン</t>
    </rPh>
    <rPh sb="6" eb="8">
      <t>カツドウ</t>
    </rPh>
    <rPh sb="8" eb="10">
      <t>スイシン</t>
    </rPh>
    <rPh sb="10" eb="12">
      <t>イイン</t>
    </rPh>
    <rPh sb="13" eb="15">
      <t>セッチ</t>
    </rPh>
    <phoneticPr fontId="2"/>
  </si>
  <si>
    <t>山下橋が完成</t>
    <rPh sb="0" eb="2">
      <t>ヤマシタ</t>
    </rPh>
    <rPh sb="2" eb="3">
      <t>バシ</t>
    </rPh>
    <rPh sb="4" eb="6">
      <t>カンセイ</t>
    </rPh>
    <phoneticPr fontId="2"/>
  </si>
  <si>
    <t>亀山城跡と侍屋敷周辺しき石舗装工事が完成</t>
    <rPh sb="0" eb="2">
      <t>カメヤマ</t>
    </rPh>
    <rPh sb="2" eb="3">
      <t>シロ</t>
    </rPh>
    <rPh sb="3" eb="4">
      <t>アト</t>
    </rPh>
    <rPh sb="5" eb="6">
      <t>サムライ</t>
    </rPh>
    <rPh sb="6" eb="8">
      <t>ヤシキ</t>
    </rPh>
    <rPh sb="8" eb="10">
      <t>シュウヘン</t>
    </rPh>
    <rPh sb="12" eb="13">
      <t>イシ</t>
    </rPh>
    <rPh sb="13" eb="15">
      <t>ホソウ</t>
    </rPh>
    <rPh sb="15" eb="17">
      <t>コウジ</t>
    </rPh>
    <rPh sb="18" eb="20">
      <t>カンセイ</t>
    </rPh>
    <phoneticPr fontId="2"/>
  </si>
  <si>
    <t>本丸町・西丸町</t>
    <rPh sb="0" eb="3">
      <t>ホンマルチョウ</t>
    </rPh>
    <rPh sb="4" eb="7">
      <t>ニシマルチョウ</t>
    </rPh>
    <phoneticPr fontId="2"/>
  </si>
  <si>
    <t>亀山城と宿場／亀山城のつくり／家臣の住むところ</t>
  </si>
  <si>
    <t>市社会福祉協議会主催「ひとり暮らし老人の料理教室」が青少年研修センターで開催</t>
    <rPh sb="0" eb="1">
      <t>シ</t>
    </rPh>
    <rPh sb="1" eb="3">
      <t>シャカイ</t>
    </rPh>
    <rPh sb="3" eb="5">
      <t>フクシ</t>
    </rPh>
    <rPh sb="5" eb="8">
      <t>キョウギカイ</t>
    </rPh>
    <rPh sb="8" eb="10">
      <t>シュサイ</t>
    </rPh>
    <rPh sb="14" eb="15">
      <t>ク</t>
    </rPh>
    <rPh sb="17" eb="19">
      <t>ロウジン</t>
    </rPh>
    <rPh sb="20" eb="22">
      <t>リョウリ</t>
    </rPh>
    <rPh sb="22" eb="24">
      <t>キョウシツ</t>
    </rPh>
    <rPh sb="26" eb="29">
      <t>セイショウネン</t>
    </rPh>
    <rPh sb="29" eb="31">
      <t>ケンシュウ</t>
    </rPh>
    <rPh sb="36" eb="38">
      <t>カイサイ</t>
    </rPh>
    <phoneticPr fontId="2"/>
  </si>
  <si>
    <t>山下橋取付道路建設に伴う山下の大垣内遺跡の発掘調査が完了</t>
    <rPh sb="0" eb="2">
      <t>ヤマシタ</t>
    </rPh>
    <rPh sb="2" eb="3">
      <t>ハシ</t>
    </rPh>
    <rPh sb="3" eb="4">
      <t>ト</t>
    </rPh>
    <rPh sb="4" eb="5">
      <t>ツ</t>
    </rPh>
    <rPh sb="5" eb="7">
      <t>ドウロ</t>
    </rPh>
    <rPh sb="7" eb="9">
      <t>ケンセツ</t>
    </rPh>
    <rPh sb="10" eb="11">
      <t>トモナ</t>
    </rPh>
    <rPh sb="12" eb="14">
      <t>ヤマシタ</t>
    </rPh>
    <rPh sb="15" eb="16">
      <t>オオ</t>
    </rPh>
    <rPh sb="16" eb="17">
      <t>カキ</t>
    </rPh>
    <rPh sb="17" eb="18">
      <t>ウチ</t>
    </rPh>
    <rPh sb="18" eb="20">
      <t>イセキ</t>
    </rPh>
    <rPh sb="21" eb="23">
      <t>ハックツ</t>
    </rPh>
    <rPh sb="23" eb="25">
      <t>チョウサ</t>
    </rPh>
    <rPh sb="26" eb="28">
      <t>カンリョウ</t>
    </rPh>
    <phoneticPr fontId="2"/>
  </si>
  <si>
    <t>大垣内遺跡（古墳）出土品</t>
    <rPh sb="6" eb="8">
      <t>コフン</t>
    </rPh>
    <rPh sb="9" eb="12">
      <t>シュツドヒン</t>
    </rPh>
    <phoneticPr fontId="2"/>
  </si>
  <si>
    <t>『亀山のあゆみ』年表
『大垣内古墳発掘調査報告Ⅰ』
『亀山市史』考古分野</t>
    <rPh sb="15" eb="17">
      <t>コフン</t>
    </rPh>
    <rPh sb="17" eb="19">
      <t>ハックツ</t>
    </rPh>
    <rPh sb="19" eb="21">
      <t>チョウサ</t>
    </rPh>
    <rPh sb="21" eb="23">
      <t>ホウコク</t>
    </rPh>
    <rPh sb="26" eb="36">
      <t>カ</t>
    </rPh>
    <phoneticPr fontId="2"/>
  </si>
  <si>
    <t>栄町自治会がブラジル日系人と座談会を開く（会場は栄町公民館）
市内のブラジル日系人は171人、その大半が栄町に住み、和田のエフテックに勤務</t>
    <rPh sb="0" eb="2">
      <t>サカエマチ</t>
    </rPh>
    <rPh sb="2" eb="5">
      <t>ジチカイ</t>
    </rPh>
    <rPh sb="10" eb="12">
      <t>ニッケイ</t>
    </rPh>
    <rPh sb="12" eb="13">
      <t>ヒト</t>
    </rPh>
    <rPh sb="14" eb="17">
      <t>ザダンカイ</t>
    </rPh>
    <rPh sb="18" eb="19">
      <t>ヒラ</t>
    </rPh>
    <rPh sb="21" eb="23">
      <t>カイジョウ</t>
    </rPh>
    <rPh sb="24" eb="25">
      <t>サカエ</t>
    </rPh>
    <rPh sb="25" eb="26">
      <t>マチ</t>
    </rPh>
    <rPh sb="26" eb="29">
      <t>コウミンカン</t>
    </rPh>
    <rPh sb="31" eb="33">
      <t>シナイ</t>
    </rPh>
    <rPh sb="38" eb="39">
      <t>ニチ</t>
    </rPh>
    <rPh sb="39" eb="40">
      <t>ケイ</t>
    </rPh>
    <rPh sb="40" eb="41">
      <t>ヒト</t>
    </rPh>
    <rPh sb="45" eb="46">
      <t>ヒト</t>
    </rPh>
    <rPh sb="49" eb="51">
      <t>タイハン</t>
    </rPh>
    <rPh sb="52" eb="54">
      <t>サカエマチ</t>
    </rPh>
    <rPh sb="55" eb="56">
      <t>ス</t>
    </rPh>
    <rPh sb="58" eb="60">
      <t>ワダ</t>
    </rPh>
    <rPh sb="67" eb="69">
      <t>キンム</t>
    </rPh>
    <phoneticPr fontId="2"/>
  </si>
  <si>
    <t>栄町</t>
    <phoneticPr fontId="2"/>
  </si>
  <si>
    <t>亀山食生活改善推進協議会が保健センターで母と子の料理教室を開催</t>
    <rPh sb="0" eb="2">
      <t>カメヤマ</t>
    </rPh>
    <rPh sb="2" eb="5">
      <t>ショクセイカツ</t>
    </rPh>
    <rPh sb="5" eb="7">
      <t>カイゼン</t>
    </rPh>
    <rPh sb="7" eb="9">
      <t>スイシン</t>
    </rPh>
    <rPh sb="9" eb="12">
      <t>キョウギカイ</t>
    </rPh>
    <rPh sb="13" eb="15">
      <t>ホケン</t>
    </rPh>
    <rPh sb="20" eb="21">
      <t>ハハ</t>
    </rPh>
    <rPh sb="22" eb="23">
      <t>コ</t>
    </rPh>
    <rPh sb="24" eb="26">
      <t>リョウリ</t>
    </rPh>
    <rPh sb="26" eb="28">
      <t>キョウシツ</t>
    </rPh>
    <rPh sb="29" eb="31">
      <t>カイサイ</t>
    </rPh>
    <phoneticPr fontId="2"/>
  </si>
  <si>
    <t>市老人クラブ連合会「男の料理実習会」を青少年研修センターで開く</t>
    <rPh sb="0" eb="1">
      <t>シ</t>
    </rPh>
    <rPh sb="1" eb="3">
      <t>ロウジン</t>
    </rPh>
    <rPh sb="6" eb="9">
      <t>レンゴウカイ</t>
    </rPh>
    <rPh sb="10" eb="11">
      <t>オトコ</t>
    </rPh>
    <rPh sb="12" eb="14">
      <t>リョウリ</t>
    </rPh>
    <rPh sb="14" eb="16">
      <t>ジッシュウ</t>
    </rPh>
    <rPh sb="16" eb="17">
      <t>カイ</t>
    </rPh>
    <rPh sb="19" eb="22">
      <t>セイショウネン</t>
    </rPh>
    <rPh sb="22" eb="24">
      <t>ケンシュウ</t>
    </rPh>
    <rPh sb="29" eb="30">
      <t>ヒラ</t>
    </rPh>
    <phoneticPr fontId="2"/>
  </si>
  <si>
    <t>市下水道整備計画まとまる、平成6年頃に事業着手</t>
    <rPh sb="0" eb="1">
      <t>シ</t>
    </rPh>
    <rPh sb="1" eb="4">
      <t>ゲスイドウ</t>
    </rPh>
    <rPh sb="4" eb="6">
      <t>セイビ</t>
    </rPh>
    <rPh sb="6" eb="8">
      <t>ケイカク</t>
    </rPh>
    <rPh sb="13" eb="15">
      <t>ヘイセイ</t>
    </rPh>
    <rPh sb="16" eb="17">
      <t>ネン</t>
    </rPh>
    <rPh sb="17" eb="18">
      <t>コロ</t>
    </rPh>
    <rPh sb="19" eb="21">
      <t>ジギョウ</t>
    </rPh>
    <rPh sb="21" eb="23">
      <t>チャクシュ</t>
    </rPh>
    <phoneticPr fontId="2"/>
  </si>
  <si>
    <t>日本の歴史の中の亀山／現代の亀山／行政と政治／下水道</t>
    <rPh sb="17" eb="19">
      <t>ギョウセイ</t>
    </rPh>
    <rPh sb="20" eb="22">
      <t>セイジ</t>
    </rPh>
    <rPh sb="23" eb="26">
      <t>ゲスイドウ</t>
    </rPh>
    <phoneticPr fontId="2"/>
  </si>
  <si>
    <t>http://kameyamarekihaku.jp/kodomo/w_e_b/rekishi/gendai/gyosei/page005.html</t>
  </si>
  <si>
    <t>『亀山のあゆみ』P.307・年表</t>
    <phoneticPr fontId="2"/>
  </si>
  <si>
    <t>日本の歴史の中の亀山／現代の亀山／行政と政治／し尿処理場</t>
    <rPh sb="24" eb="25">
      <t>ニョウ</t>
    </rPh>
    <rPh sb="25" eb="28">
      <t>ショリジョウ</t>
    </rPh>
    <phoneticPr fontId="2"/>
  </si>
  <si>
    <t>http://kameyamarekihaku.jp/kodomo/w_e_b/rekishi/gendai/gyosei/page006.html</t>
  </si>
  <si>
    <t>し尿汲み取り料金が改定。県指導により手数料条例を廃止、手数料は許可業者の自由設定価格となるが、指導価格としての新料金は税込で１４４ℓまでは1080円以下、１４４ℓ超えは１８ℓにつき１３５円以下となる</t>
    <rPh sb="1" eb="2">
      <t>ニョウ</t>
    </rPh>
    <rPh sb="2" eb="3">
      <t>ク</t>
    </rPh>
    <rPh sb="4" eb="5">
      <t>ト</t>
    </rPh>
    <rPh sb="6" eb="8">
      <t>リョウキン</t>
    </rPh>
    <rPh sb="9" eb="11">
      <t>カイテイ</t>
    </rPh>
    <rPh sb="12" eb="13">
      <t>ケン</t>
    </rPh>
    <rPh sb="13" eb="15">
      <t>シドウ</t>
    </rPh>
    <rPh sb="18" eb="21">
      <t>テスウリョウ</t>
    </rPh>
    <rPh sb="21" eb="23">
      <t>ジョウレイ</t>
    </rPh>
    <rPh sb="24" eb="26">
      <t>ハイシ</t>
    </rPh>
    <rPh sb="27" eb="30">
      <t>テスウリョウ</t>
    </rPh>
    <rPh sb="31" eb="33">
      <t>キョカ</t>
    </rPh>
    <rPh sb="33" eb="35">
      <t>ギョウシャ</t>
    </rPh>
    <rPh sb="36" eb="38">
      <t>ジユウ</t>
    </rPh>
    <rPh sb="38" eb="40">
      <t>セッテイ</t>
    </rPh>
    <rPh sb="40" eb="42">
      <t>カカク</t>
    </rPh>
    <rPh sb="47" eb="49">
      <t>シドウ</t>
    </rPh>
    <rPh sb="49" eb="51">
      <t>カカク</t>
    </rPh>
    <rPh sb="55" eb="58">
      <t>シンリョウキン</t>
    </rPh>
    <rPh sb="59" eb="61">
      <t>ゼイコミ</t>
    </rPh>
    <rPh sb="73" eb="76">
      <t>エンイカ</t>
    </rPh>
    <rPh sb="81" eb="82">
      <t>コ</t>
    </rPh>
    <rPh sb="93" eb="96">
      <t>エンイカ</t>
    </rPh>
    <phoneticPr fontId="2"/>
  </si>
  <si>
    <t>日本の歴史の中の亀山／現代の亀山／行政と政治／し尿処理場</t>
    <phoneticPr fontId="2"/>
  </si>
  <si>
    <t>市議会に全議員で構成する「リニア新幹線特別委員会」設置</t>
    <rPh sb="0" eb="1">
      <t>シ</t>
    </rPh>
    <rPh sb="1" eb="3">
      <t>ギカイ</t>
    </rPh>
    <rPh sb="4" eb="5">
      <t>ゼン</t>
    </rPh>
    <rPh sb="5" eb="7">
      <t>ギイン</t>
    </rPh>
    <rPh sb="8" eb="10">
      <t>コウセイ</t>
    </rPh>
    <rPh sb="16" eb="19">
      <t>シンカンセン</t>
    </rPh>
    <rPh sb="19" eb="21">
      <t>トクベツ</t>
    </rPh>
    <rPh sb="21" eb="24">
      <t>イインカイ</t>
    </rPh>
    <rPh sb="25" eb="27">
      <t>セッチ</t>
    </rPh>
    <phoneticPr fontId="2"/>
  </si>
  <si>
    <t>日本の歴史の中の亀山／現代の亀山／交通と通信／鉄道／リニアの誘致活動</t>
    <rPh sb="30" eb="32">
      <t>ユウチ</t>
    </rPh>
    <rPh sb="32" eb="34">
      <t>カツドウ</t>
    </rPh>
    <phoneticPr fontId="2"/>
  </si>
  <si>
    <t>http://kameyamarekihaku.jp/kodomo/w_e_b/rekishi/gendai/koutsu/tetsudo/page002.html</t>
  </si>
  <si>
    <t>文化会館で「衣笠貞之助映画の集い」を開催。水野晴郎などのトークショーのほか「鳴門秘帖」を上映</t>
    <rPh sb="0" eb="2">
      <t>ブンカ</t>
    </rPh>
    <rPh sb="2" eb="4">
      <t>カイカン</t>
    </rPh>
    <rPh sb="6" eb="8">
      <t>キヌガサ</t>
    </rPh>
    <rPh sb="8" eb="9">
      <t>サダ</t>
    </rPh>
    <rPh sb="9" eb="10">
      <t>ノ</t>
    </rPh>
    <rPh sb="10" eb="11">
      <t>スケ</t>
    </rPh>
    <rPh sb="11" eb="13">
      <t>エイガ</t>
    </rPh>
    <rPh sb="14" eb="15">
      <t>ツド</t>
    </rPh>
    <rPh sb="18" eb="20">
      <t>カイサイ</t>
    </rPh>
    <rPh sb="21" eb="22">
      <t>ミズ</t>
    </rPh>
    <rPh sb="22" eb="23">
      <t>ノ</t>
    </rPh>
    <rPh sb="23" eb="25">
      <t>ハルオ</t>
    </rPh>
    <rPh sb="38" eb="40">
      <t>ナルト</t>
    </rPh>
    <rPh sb="40" eb="41">
      <t>ヒ</t>
    </rPh>
    <rPh sb="41" eb="42">
      <t>チョウ</t>
    </rPh>
    <rPh sb="44" eb="46">
      <t>ジョウエイ</t>
    </rPh>
    <phoneticPr fontId="2"/>
  </si>
  <si>
    <t>国道1号鈴鹿峠バイパス全線が完成</t>
    <rPh sb="0" eb="2">
      <t>コクドウ</t>
    </rPh>
    <rPh sb="3" eb="4">
      <t>ゴウ</t>
    </rPh>
    <rPh sb="4" eb="6">
      <t>スズカ</t>
    </rPh>
    <rPh sb="6" eb="7">
      <t>トウゲ</t>
    </rPh>
    <rPh sb="11" eb="13">
      <t>ゼンセン</t>
    </rPh>
    <rPh sb="14" eb="16">
      <t>カンセイ</t>
    </rPh>
    <phoneticPr fontId="2"/>
  </si>
  <si>
    <t>全国町並みサミット開催（旧関町）</t>
    <rPh sb="0" eb="1">
      <t>ゼン</t>
    </rPh>
    <rPh sb="1" eb="2">
      <t>コク</t>
    </rPh>
    <rPh sb="2" eb="4">
      <t>マチナ</t>
    </rPh>
    <rPh sb="9" eb="11">
      <t>カイサイ</t>
    </rPh>
    <rPh sb="12" eb="13">
      <t>キュウ</t>
    </rPh>
    <rPh sb="13" eb="15">
      <t>セキチョウ</t>
    </rPh>
    <phoneticPr fontId="2"/>
  </si>
  <si>
    <t>平成4</t>
  </si>
  <si>
    <t>亀山・関町両森林組合が、鈴鹿市もその区域に加えた広域森林組合として合併、名称も新たに「鈴鹿森林組合」として発足</t>
    <rPh sb="0" eb="2">
      <t>カメヤマ</t>
    </rPh>
    <rPh sb="3" eb="4">
      <t>セキ</t>
    </rPh>
    <rPh sb="4" eb="5">
      <t>マチ</t>
    </rPh>
    <rPh sb="5" eb="6">
      <t>リョウ</t>
    </rPh>
    <rPh sb="6" eb="8">
      <t>シンリン</t>
    </rPh>
    <rPh sb="8" eb="10">
      <t>クミアイ</t>
    </rPh>
    <rPh sb="12" eb="15">
      <t>スズカシ</t>
    </rPh>
    <rPh sb="18" eb="20">
      <t>クイキ</t>
    </rPh>
    <rPh sb="21" eb="22">
      <t>クワ</t>
    </rPh>
    <rPh sb="24" eb="26">
      <t>コウイキ</t>
    </rPh>
    <rPh sb="26" eb="28">
      <t>シンリン</t>
    </rPh>
    <rPh sb="28" eb="30">
      <t>クミアイ</t>
    </rPh>
    <rPh sb="33" eb="35">
      <t>ガッペイ</t>
    </rPh>
    <rPh sb="36" eb="38">
      <t>メイショウ</t>
    </rPh>
    <rPh sb="39" eb="40">
      <t>アラ</t>
    </rPh>
    <rPh sb="43" eb="45">
      <t>スズカ</t>
    </rPh>
    <rPh sb="45" eb="47">
      <t>シンリン</t>
    </rPh>
    <rPh sb="47" eb="49">
      <t>クミアイ</t>
    </rPh>
    <rPh sb="53" eb="55">
      <t>ホッソク</t>
    </rPh>
    <phoneticPr fontId="2"/>
  </si>
  <si>
    <t>鈴鹿森林組合</t>
    <phoneticPr fontId="2"/>
  </si>
  <si>
    <t>ＮＴＴが国際通話ができる公衆電話機を市役所前と亀山駅前に設置する</t>
    <rPh sb="4" eb="6">
      <t>コクサイ</t>
    </rPh>
    <rPh sb="6" eb="8">
      <t>ツウワ</t>
    </rPh>
    <rPh sb="12" eb="14">
      <t>コウシュウ</t>
    </rPh>
    <rPh sb="14" eb="16">
      <t>デンワ</t>
    </rPh>
    <rPh sb="16" eb="17">
      <t>キ</t>
    </rPh>
    <rPh sb="18" eb="21">
      <t>シヤクショ</t>
    </rPh>
    <rPh sb="21" eb="22">
      <t>マエ</t>
    </rPh>
    <rPh sb="23" eb="25">
      <t>カメヤマ</t>
    </rPh>
    <rPh sb="25" eb="27">
      <t>エキマエ</t>
    </rPh>
    <rPh sb="28" eb="30">
      <t>セッチ</t>
    </rPh>
    <phoneticPr fontId="2"/>
  </si>
  <si>
    <t>市教委が家族間のふれあいを深める「子供フェスティバル」を青少年研修センターで開く
お手玉、おはじき、ビー玉、こま回しなどで楽しむ（旧亀山市）</t>
    <rPh sb="0" eb="1">
      <t>シ</t>
    </rPh>
    <rPh sb="1" eb="3">
      <t>キョウイ</t>
    </rPh>
    <rPh sb="4" eb="6">
      <t>カゾク</t>
    </rPh>
    <rPh sb="6" eb="7">
      <t>アイダ</t>
    </rPh>
    <rPh sb="13" eb="14">
      <t>フカ</t>
    </rPh>
    <rPh sb="17" eb="19">
      <t>コドモ</t>
    </rPh>
    <rPh sb="28" eb="31">
      <t>セイショウネン</t>
    </rPh>
    <rPh sb="31" eb="33">
      <t>ケンシュウ</t>
    </rPh>
    <rPh sb="38" eb="39">
      <t>ヒラ</t>
    </rPh>
    <rPh sb="42" eb="44">
      <t>テダマ</t>
    </rPh>
    <rPh sb="52" eb="53">
      <t>ダマ</t>
    </rPh>
    <rPh sb="56" eb="57">
      <t>マワ</t>
    </rPh>
    <rPh sb="61" eb="62">
      <t>タノ</t>
    </rPh>
    <rPh sb="65" eb="66">
      <t>キュウ</t>
    </rPh>
    <rPh sb="66" eb="69">
      <t>カメヤマシ</t>
    </rPh>
    <phoneticPr fontId="2"/>
  </si>
  <si>
    <t>亀山宿・江戸の道整備事業の一環で、野村一里塚の県道南側と井田川町の地区集会所前にあずま屋風「休憩所」がそれぞれ完成（和田一里塚模式復元）</t>
    <rPh sb="0" eb="2">
      <t>カメヤマ</t>
    </rPh>
    <rPh sb="2" eb="3">
      <t>シュク</t>
    </rPh>
    <rPh sb="4" eb="6">
      <t>エド</t>
    </rPh>
    <rPh sb="7" eb="8">
      <t>ミチ</t>
    </rPh>
    <rPh sb="8" eb="10">
      <t>セイビ</t>
    </rPh>
    <rPh sb="10" eb="12">
      <t>ジギョウ</t>
    </rPh>
    <rPh sb="13" eb="15">
      <t>イッカン</t>
    </rPh>
    <rPh sb="17" eb="19">
      <t>ノムラ</t>
    </rPh>
    <rPh sb="19" eb="22">
      <t>イチリヅカ</t>
    </rPh>
    <rPh sb="23" eb="25">
      <t>ケンドウ</t>
    </rPh>
    <rPh sb="25" eb="27">
      <t>ミナミガワ</t>
    </rPh>
    <rPh sb="28" eb="31">
      <t>イダガワ</t>
    </rPh>
    <rPh sb="31" eb="32">
      <t>マチ</t>
    </rPh>
    <rPh sb="33" eb="35">
      <t>チク</t>
    </rPh>
    <rPh sb="35" eb="37">
      <t>シュウカイ</t>
    </rPh>
    <rPh sb="37" eb="38">
      <t>ジョ</t>
    </rPh>
    <rPh sb="38" eb="39">
      <t>マエ</t>
    </rPh>
    <rPh sb="43" eb="44">
      <t>ヤ</t>
    </rPh>
    <rPh sb="44" eb="45">
      <t>フウ</t>
    </rPh>
    <rPh sb="46" eb="48">
      <t>キュウケイ</t>
    </rPh>
    <rPh sb="48" eb="49">
      <t>ジョ</t>
    </rPh>
    <rPh sb="55" eb="57">
      <t>カンセイ</t>
    </rPh>
    <rPh sb="58" eb="60">
      <t>ワダ</t>
    </rPh>
    <rPh sb="60" eb="63">
      <t>イチリヅカ</t>
    </rPh>
    <rPh sb="63" eb="65">
      <t>モシキ</t>
    </rPh>
    <rPh sb="65" eb="67">
      <t>フクゲン</t>
    </rPh>
    <phoneticPr fontId="2"/>
  </si>
  <si>
    <t>和田一里塚跡</t>
    <rPh sb="0" eb="2">
      <t>ワダ</t>
    </rPh>
    <rPh sb="2" eb="5">
      <t>イチリヅカ</t>
    </rPh>
    <rPh sb="5" eb="6">
      <t>アト</t>
    </rPh>
    <phoneticPr fontId="2"/>
  </si>
  <si>
    <t>むかしの道と交通／亀山の近世の道／一里塚</t>
    <rPh sb="4" eb="5">
      <t>ミチ</t>
    </rPh>
    <rPh sb="6" eb="8">
      <t>コウツウ</t>
    </rPh>
    <rPh sb="9" eb="11">
      <t>カメヤマ</t>
    </rPh>
    <rPh sb="12" eb="14">
      <t>キンセイ</t>
    </rPh>
    <rPh sb="15" eb="16">
      <t>ミチ</t>
    </rPh>
    <rPh sb="17" eb="20">
      <t>イチリヅカ</t>
    </rPh>
    <phoneticPr fontId="2"/>
  </si>
  <si>
    <t>亀山城と宿場／４つの宿場／城下町の宿場亀山宿</t>
    <rPh sb="0" eb="3">
      <t>カメヤマジョウ</t>
    </rPh>
    <rPh sb="4" eb="7">
      <t>シュクバ・</t>
    </rPh>
    <rPh sb="10" eb="12">
      <t>シュクバ</t>
    </rPh>
    <rPh sb="13" eb="16">
      <t>ジョウカマチ</t>
    </rPh>
    <rPh sb="17" eb="19">
      <t>シュクバ</t>
    </rPh>
    <rPh sb="19" eb="22">
      <t>カメヤマジュク</t>
    </rPh>
    <phoneticPr fontId="2"/>
  </si>
  <si>
    <t>中部中校舎を増築し、パソコン21台を導入
平成５年４月から技術家庭の授業で使用する</t>
    <rPh sb="0" eb="2">
      <t>チュウブ</t>
    </rPh>
    <rPh sb="2" eb="3">
      <t>チュウ</t>
    </rPh>
    <rPh sb="3" eb="5">
      <t>コウシャ</t>
    </rPh>
    <rPh sb="6" eb="8">
      <t>ゾウチク</t>
    </rPh>
    <rPh sb="16" eb="17">
      <t>ダイ</t>
    </rPh>
    <rPh sb="18" eb="20">
      <t>ドウニュウ</t>
    </rPh>
    <rPh sb="21" eb="23">
      <t>ヘイセイ</t>
    </rPh>
    <rPh sb="24" eb="25">
      <t>ネン</t>
    </rPh>
    <rPh sb="26" eb="27">
      <t>ガツ</t>
    </rPh>
    <rPh sb="29" eb="31">
      <t>ギジュツ</t>
    </rPh>
    <rPh sb="31" eb="33">
      <t>カテイ</t>
    </rPh>
    <rPh sb="34" eb="36">
      <t>ジュギョウ</t>
    </rPh>
    <rPh sb="37" eb="39">
      <t>シヨウ</t>
    </rPh>
    <phoneticPr fontId="2"/>
  </si>
  <si>
    <t>中部中学校</t>
    <rPh sb="3" eb="5">
      <t>ガッコウ</t>
    </rPh>
    <phoneticPr fontId="2"/>
  </si>
  <si>
    <t>学校のあゆみ／中部中学校のれきし</t>
    <phoneticPr fontId="2"/>
  </si>
  <si>
    <t>亀山少年少女合唱団がアメリカで親善コンサート</t>
    <rPh sb="0" eb="2">
      <t>カメヤマ</t>
    </rPh>
    <rPh sb="2" eb="4">
      <t>ショウネン</t>
    </rPh>
    <rPh sb="4" eb="6">
      <t>ショウジョ</t>
    </rPh>
    <rPh sb="6" eb="9">
      <t>ガッショウダン</t>
    </rPh>
    <rPh sb="15" eb="17">
      <t>シンゼン</t>
    </rPh>
    <phoneticPr fontId="2"/>
  </si>
  <si>
    <t>東町に城東地区集会所が完成
東町商店街振興組合が使用の元農協有放センターの建物を改修したもの</t>
    <rPh sb="0" eb="1">
      <t>ヒガシ</t>
    </rPh>
    <rPh sb="1" eb="2">
      <t>マチ</t>
    </rPh>
    <rPh sb="3" eb="4">
      <t>シロ</t>
    </rPh>
    <rPh sb="4" eb="5">
      <t>ヒガシ</t>
    </rPh>
    <rPh sb="5" eb="7">
      <t>チク</t>
    </rPh>
    <rPh sb="7" eb="9">
      <t>シュウカイ</t>
    </rPh>
    <rPh sb="9" eb="10">
      <t>ジョ</t>
    </rPh>
    <rPh sb="11" eb="13">
      <t>カンセイ</t>
    </rPh>
    <rPh sb="14" eb="15">
      <t>ヒガシ</t>
    </rPh>
    <rPh sb="15" eb="16">
      <t>マチ</t>
    </rPh>
    <rPh sb="16" eb="19">
      <t>ショウテンガイ</t>
    </rPh>
    <rPh sb="19" eb="21">
      <t>シンコウ</t>
    </rPh>
    <rPh sb="21" eb="23">
      <t>クミアイ</t>
    </rPh>
    <rPh sb="24" eb="26">
      <t>シヨウ</t>
    </rPh>
    <rPh sb="27" eb="28">
      <t>モト</t>
    </rPh>
    <rPh sb="28" eb="30">
      <t>ノウキョウ</t>
    </rPh>
    <rPh sb="30" eb="31">
      <t>ユウ</t>
    </rPh>
    <rPh sb="31" eb="32">
      <t>ホウ</t>
    </rPh>
    <rPh sb="37" eb="39">
      <t>タテモノ</t>
    </rPh>
    <rPh sb="40" eb="42">
      <t>カイシュウ</t>
    </rPh>
    <phoneticPr fontId="2"/>
  </si>
  <si>
    <t>城東地区集会所</t>
    <phoneticPr fontId="2"/>
  </si>
  <si>
    <t>東御幸町のみゆき児童公園東側に御幸地区集会所が完成</t>
    <rPh sb="0" eb="1">
      <t>ヒガシ</t>
    </rPh>
    <rPh sb="1" eb="4">
      <t>ミユキチョウ</t>
    </rPh>
    <rPh sb="8" eb="10">
      <t>ジドウ</t>
    </rPh>
    <rPh sb="10" eb="12">
      <t>コウエン</t>
    </rPh>
    <rPh sb="12" eb="13">
      <t>ヒガシ</t>
    </rPh>
    <rPh sb="13" eb="14">
      <t>ガワ</t>
    </rPh>
    <rPh sb="15" eb="16">
      <t>ミ</t>
    </rPh>
    <rPh sb="16" eb="17">
      <t>ユキ</t>
    </rPh>
    <rPh sb="17" eb="19">
      <t>チク</t>
    </rPh>
    <rPh sb="19" eb="21">
      <t>シュウカイ</t>
    </rPh>
    <rPh sb="21" eb="22">
      <t>ジョ</t>
    </rPh>
    <rPh sb="23" eb="25">
      <t>カンセイ</t>
    </rPh>
    <phoneticPr fontId="2"/>
  </si>
  <si>
    <t>御幸地区集会所</t>
    <phoneticPr fontId="2"/>
  </si>
  <si>
    <t>阿野田町御座に市内で３番目の農村公園が完成</t>
    <rPh sb="0" eb="3">
      <t>アノダ</t>
    </rPh>
    <rPh sb="3" eb="4">
      <t>マチ</t>
    </rPh>
    <rPh sb="4" eb="5">
      <t>ミ</t>
    </rPh>
    <rPh sb="5" eb="6">
      <t>ザ</t>
    </rPh>
    <rPh sb="7" eb="9">
      <t>シナイ</t>
    </rPh>
    <rPh sb="11" eb="13">
      <t>バンメ</t>
    </rPh>
    <rPh sb="14" eb="16">
      <t>ノウソン</t>
    </rPh>
    <rPh sb="16" eb="18">
      <t>コウエン</t>
    </rPh>
    <rPh sb="19" eb="21">
      <t>カンセイ</t>
    </rPh>
    <phoneticPr fontId="2"/>
  </si>
  <si>
    <t>阿野田町</t>
    <rPh sb="0" eb="4">
      <t>アノダチョウ</t>
    </rPh>
    <phoneticPr fontId="2"/>
  </si>
  <si>
    <t>新図書館車「わかば号」運行
昭和55年7月から運行の「宝くじ号」老朽化に伴う更新
冷房入り、積載図書は2500冊</t>
    <rPh sb="0" eb="1">
      <t>シン</t>
    </rPh>
    <rPh sb="1" eb="4">
      <t>トショカン</t>
    </rPh>
    <rPh sb="4" eb="5">
      <t>クルマ</t>
    </rPh>
    <rPh sb="9" eb="10">
      <t>ゴウ</t>
    </rPh>
    <rPh sb="11" eb="13">
      <t>ウンコウ</t>
    </rPh>
    <rPh sb="14" eb="16">
      <t>ショウワ</t>
    </rPh>
    <rPh sb="18" eb="19">
      <t>ネン</t>
    </rPh>
    <rPh sb="20" eb="21">
      <t>ガツ</t>
    </rPh>
    <rPh sb="23" eb="25">
      <t>ウンコウ</t>
    </rPh>
    <rPh sb="27" eb="28">
      <t>タカラ</t>
    </rPh>
    <rPh sb="30" eb="31">
      <t>ゴウ</t>
    </rPh>
    <rPh sb="32" eb="35">
      <t>ロウキュウカ</t>
    </rPh>
    <rPh sb="36" eb="37">
      <t>トモナ</t>
    </rPh>
    <rPh sb="38" eb="40">
      <t>コウシン</t>
    </rPh>
    <rPh sb="41" eb="43">
      <t>レイボウ</t>
    </rPh>
    <rPh sb="43" eb="44">
      <t>イ</t>
    </rPh>
    <rPh sb="46" eb="48">
      <t>セキサイ</t>
    </rPh>
    <rPh sb="48" eb="50">
      <t>トショ</t>
    </rPh>
    <rPh sb="55" eb="56">
      <t>サツ</t>
    </rPh>
    <phoneticPr fontId="2"/>
  </si>
  <si>
    <t>移動図書館「わかば号」</t>
    <rPh sb="9" eb="10">
      <t>ゴウ</t>
    </rPh>
    <phoneticPr fontId="2"/>
  </si>
  <si>
    <t>『亀山のあゆみ』P.431・年表</t>
    <rPh sb="14" eb="16">
      <t>ネンピョウ</t>
    </rPh>
    <phoneticPr fontId="2"/>
  </si>
  <si>
    <t>三交バス亀山石水渓線の一部（１日６往復分）が医療センターへ乗り入れとなる</t>
    <rPh sb="1" eb="2">
      <t>マジ</t>
    </rPh>
    <rPh sb="4" eb="6">
      <t>カメヤマ</t>
    </rPh>
    <rPh sb="6" eb="7">
      <t>イシ</t>
    </rPh>
    <rPh sb="7" eb="8">
      <t>ミズ</t>
    </rPh>
    <rPh sb="8" eb="9">
      <t>ケイ</t>
    </rPh>
    <rPh sb="9" eb="10">
      <t>セン</t>
    </rPh>
    <rPh sb="11" eb="13">
      <t>イチブ</t>
    </rPh>
    <rPh sb="15" eb="16">
      <t>ニチ</t>
    </rPh>
    <rPh sb="17" eb="19">
      <t>オウフク</t>
    </rPh>
    <rPh sb="19" eb="20">
      <t>ブン</t>
    </rPh>
    <rPh sb="22" eb="24">
      <t>イリョウ</t>
    </rPh>
    <rPh sb="29" eb="30">
      <t>ノ</t>
    </rPh>
    <rPh sb="31" eb="32">
      <t>イ</t>
    </rPh>
    <phoneticPr fontId="2"/>
  </si>
  <si>
    <t>三交バス亀山石水渓線</t>
  </si>
  <si>
    <t>野村町の名阪国道工事事務所が3月末で廃止され、北勢国道工事事務所が新設される</t>
    <rPh sb="0" eb="2">
      <t>ノムラ</t>
    </rPh>
    <rPh sb="2" eb="3">
      <t>マチ</t>
    </rPh>
    <rPh sb="4" eb="6">
      <t>メイハン</t>
    </rPh>
    <rPh sb="6" eb="8">
      <t>コクドウ</t>
    </rPh>
    <rPh sb="8" eb="10">
      <t>コウジ</t>
    </rPh>
    <rPh sb="10" eb="12">
      <t>ジム</t>
    </rPh>
    <rPh sb="12" eb="13">
      <t>ショ</t>
    </rPh>
    <rPh sb="15" eb="16">
      <t>ガツ</t>
    </rPh>
    <rPh sb="16" eb="17">
      <t>スエ</t>
    </rPh>
    <rPh sb="18" eb="20">
      <t>ハイシ</t>
    </rPh>
    <rPh sb="23" eb="25">
      <t>ホクセイ</t>
    </rPh>
    <rPh sb="25" eb="27">
      <t>コクドウ</t>
    </rPh>
    <rPh sb="27" eb="29">
      <t>コウジ</t>
    </rPh>
    <rPh sb="29" eb="31">
      <t>ジム</t>
    </rPh>
    <rPh sb="31" eb="32">
      <t>ショ</t>
    </rPh>
    <rPh sb="33" eb="35">
      <t>シンセツ</t>
    </rPh>
    <phoneticPr fontId="2"/>
  </si>
  <si>
    <t>北勢国道工事事務所</t>
    <phoneticPr fontId="2"/>
  </si>
  <si>
    <t>昼生小が、学校５日制実施モデル校の県教委の指定を受け、11日（毎月第二土曜日）が休日となる</t>
    <rPh sb="0" eb="2">
      <t>ヒルオ</t>
    </rPh>
    <rPh sb="2" eb="3">
      <t>ショウ</t>
    </rPh>
    <rPh sb="5" eb="7">
      <t>ガッコウ</t>
    </rPh>
    <rPh sb="8" eb="9">
      <t>ニチ</t>
    </rPh>
    <rPh sb="9" eb="10">
      <t>セイ</t>
    </rPh>
    <rPh sb="10" eb="12">
      <t>ジッシ</t>
    </rPh>
    <rPh sb="15" eb="16">
      <t>コウ</t>
    </rPh>
    <rPh sb="17" eb="18">
      <t>ケン</t>
    </rPh>
    <rPh sb="18" eb="20">
      <t>キョウイ</t>
    </rPh>
    <rPh sb="21" eb="23">
      <t>シテイ</t>
    </rPh>
    <rPh sb="24" eb="25">
      <t>ウ</t>
    </rPh>
    <rPh sb="29" eb="30">
      <t>ニチ</t>
    </rPh>
    <rPh sb="31" eb="33">
      <t>マイツキ</t>
    </rPh>
    <rPh sb="33" eb="35">
      <t>ダイニ</t>
    </rPh>
    <rPh sb="35" eb="38">
      <t>ドヨウビ</t>
    </rPh>
    <rPh sb="40" eb="42">
      <t>キュウジツ</t>
    </rPh>
    <phoneticPr fontId="2"/>
  </si>
  <si>
    <t>昼生小学校</t>
    <rPh sb="0" eb="1">
      <t>ヒル</t>
    </rPh>
    <rPh sb="1" eb="2">
      <t>セイ</t>
    </rPh>
    <rPh sb="2" eb="5">
      <t>ショウガッコウ</t>
    </rPh>
    <phoneticPr fontId="2"/>
  </si>
  <si>
    <t>学校のあゆみ／昼生小学校のれきし</t>
    <phoneticPr fontId="2"/>
  </si>
  <si>
    <t>『亀山のあゆみ』P.402・年表</t>
    <phoneticPr fontId="2"/>
  </si>
  <si>
    <t>市職員完全週休2日制実施検討委員会を設置</t>
    <rPh sb="0" eb="1">
      <t>シ</t>
    </rPh>
    <rPh sb="1" eb="3">
      <t>ショクイン</t>
    </rPh>
    <rPh sb="3" eb="5">
      <t>カンゼン</t>
    </rPh>
    <rPh sb="5" eb="7">
      <t>シュウキュウ</t>
    </rPh>
    <rPh sb="8" eb="9">
      <t>ニチ</t>
    </rPh>
    <rPh sb="9" eb="10">
      <t>セイ</t>
    </rPh>
    <rPh sb="10" eb="12">
      <t>ジッシ</t>
    </rPh>
    <rPh sb="12" eb="14">
      <t>ケントウ</t>
    </rPh>
    <rPh sb="14" eb="17">
      <t>イインカイ</t>
    </rPh>
    <rPh sb="18" eb="20">
      <t>セッチ</t>
    </rPh>
    <phoneticPr fontId="2"/>
  </si>
  <si>
    <t>西丸町の旧専売公社跡地に歴史広場完成</t>
    <rPh sb="0" eb="2">
      <t>ニシマル</t>
    </rPh>
    <rPh sb="2" eb="3">
      <t>マチ</t>
    </rPh>
    <rPh sb="4" eb="5">
      <t>キュウ</t>
    </rPh>
    <rPh sb="5" eb="7">
      <t>センバイ</t>
    </rPh>
    <rPh sb="7" eb="9">
      <t>コウシャ</t>
    </rPh>
    <rPh sb="9" eb="11">
      <t>アトチ</t>
    </rPh>
    <rPh sb="12" eb="14">
      <t>レキシ</t>
    </rPh>
    <rPh sb="14" eb="16">
      <t>ヒロバ</t>
    </rPh>
    <rPh sb="16" eb="18">
      <t>カンセイ</t>
    </rPh>
    <phoneticPr fontId="2"/>
  </si>
  <si>
    <t>西之丸庭園</t>
    <rPh sb="0" eb="1">
      <t>ニシ</t>
    </rPh>
    <rPh sb="1" eb="2">
      <t>ノ</t>
    </rPh>
    <rPh sb="2" eb="3">
      <t>マル</t>
    </rPh>
    <rPh sb="3" eb="5">
      <t>テイエン</t>
    </rPh>
    <phoneticPr fontId="2"/>
  </si>
  <si>
    <t>東町商店街に「ふれあい広場」完成</t>
    <rPh sb="0" eb="2">
      <t>ヒガシマチ</t>
    </rPh>
    <rPh sb="2" eb="5">
      <t>ショウテンガイ</t>
    </rPh>
    <rPh sb="11" eb="13">
      <t>ヒロバ</t>
    </rPh>
    <rPh sb="14" eb="16">
      <t>カンセイ</t>
    </rPh>
    <phoneticPr fontId="2"/>
  </si>
  <si>
    <t>ふれあい広場</t>
    <rPh sb="4" eb="6">
      <t>ヒロバ</t>
    </rPh>
    <phoneticPr fontId="2"/>
  </si>
  <si>
    <t>独居老人緊急通報システム事業発足</t>
    <rPh sb="0" eb="2">
      <t>ドッキョ</t>
    </rPh>
    <rPh sb="2" eb="4">
      <t>ロウジン</t>
    </rPh>
    <rPh sb="4" eb="6">
      <t>キンキュウ</t>
    </rPh>
    <rPh sb="6" eb="8">
      <t>ツウホウ</t>
    </rPh>
    <rPh sb="12" eb="14">
      <t>ジギョウ</t>
    </rPh>
    <rPh sb="14" eb="16">
      <t>ホッソク</t>
    </rPh>
    <phoneticPr fontId="2"/>
  </si>
  <si>
    <t>山下橋の親柱に鋳鉄製の古代武人像を取り付ける</t>
    <rPh sb="0" eb="2">
      <t>ヤマシタ</t>
    </rPh>
    <rPh sb="2" eb="3">
      <t>ハシ</t>
    </rPh>
    <rPh sb="4" eb="5">
      <t>オヤ</t>
    </rPh>
    <rPh sb="5" eb="6">
      <t>バシラ</t>
    </rPh>
    <rPh sb="7" eb="8">
      <t>イ</t>
    </rPh>
    <rPh sb="8" eb="9">
      <t>テツ</t>
    </rPh>
    <rPh sb="9" eb="10">
      <t>セイ</t>
    </rPh>
    <rPh sb="11" eb="13">
      <t>コダイ</t>
    </rPh>
    <rPh sb="13" eb="15">
      <t>ブジン</t>
    </rPh>
    <rPh sb="15" eb="16">
      <t>ゾウ</t>
    </rPh>
    <rPh sb="17" eb="18">
      <t>ト</t>
    </rPh>
    <rPh sb="19" eb="20">
      <t>ツ</t>
    </rPh>
    <phoneticPr fontId="2"/>
  </si>
  <si>
    <t>古代武人像石膏型</t>
    <rPh sb="0" eb="2">
      <t>コダイ</t>
    </rPh>
    <rPh sb="2" eb="4">
      <t>ブジン</t>
    </rPh>
    <rPh sb="4" eb="5">
      <t>ゾウ</t>
    </rPh>
    <rPh sb="5" eb="7">
      <t>セッコウ</t>
    </rPh>
    <rPh sb="7" eb="8">
      <t>カタ</t>
    </rPh>
    <phoneticPr fontId="2"/>
  </si>
  <si>
    <t>亀中屋外運動場で「薪能」を開催</t>
    <rPh sb="0" eb="1">
      <t>カメ</t>
    </rPh>
    <rPh sb="1" eb="2">
      <t>ナカ</t>
    </rPh>
    <rPh sb="2" eb="3">
      <t>ヤ</t>
    </rPh>
    <rPh sb="3" eb="4">
      <t>ガイ</t>
    </rPh>
    <rPh sb="4" eb="7">
      <t>ウンドウジョウ</t>
    </rPh>
    <rPh sb="9" eb="10">
      <t>タキギ</t>
    </rPh>
    <rPh sb="10" eb="11">
      <t>ノウ</t>
    </rPh>
    <rPh sb="13" eb="15">
      <t>カイサイ</t>
    </rPh>
    <phoneticPr fontId="2"/>
  </si>
  <si>
    <t>学校週５日制が実施される
幼稚園と小・中学校が２学期から（昼生小は４月から試行中）毎月第２土曜日が休みとなる
実施に先立ち、9月1日に学校教育、社会教育関係者から成る「学校５日制実施検討委員会」を発足させ、さまざまな問題点を討議する</t>
    <rPh sb="0" eb="2">
      <t>ガッコウ</t>
    </rPh>
    <rPh sb="2" eb="3">
      <t>シュウ</t>
    </rPh>
    <rPh sb="4" eb="5">
      <t>ニチ</t>
    </rPh>
    <rPh sb="5" eb="6">
      <t>セイ</t>
    </rPh>
    <rPh sb="7" eb="9">
      <t>ジッシ</t>
    </rPh>
    <rPh sb="13" eb="16">
      <t>ヨウチエン</t>
    </rPh>
    <rPh sb="17" eb="18">
      <t>ショウ</t>
    </rPh>
    <rPh sb="19" eb="22">
      <t>チュウガッコウ</t>
    </rPh>
    <rPh sb="24" eb="26">
      <t>ガッキ</t>
    </rPh>
    <rPh sb="29" eb="31">
      <t>ヒルオ</t>
    </rPh>
    <rPh sb="31" eb="32">
      <t>ショウ</t>
    </rPh>
    <rPh sb="34" eb="35">
      <t>ガツ</t>
    </rPh>
    <rPh sb="37" eb="39">
      <t>シコウ</t>
    </rPh>
    <rPh sb="39" eb="40">
      <t>ナカ</t>
    </rPh>
    <rPh sb="41" eb="43">
      <t>マイツキ</t>
    </rPh>
    <rPh sb="43" eb="44">
      <t>ダイ</t>
    </rPh>
    <rPh sb="45" eb="48">
      <t>ドヨウビ</t>
    </rPh>
    <rPh sb="49" eb="50">
      <t>ヤス</t>
    </rPh>
    <rPh sb="55" eb="57">
      <t>ジッシ</t>
    </rPh>
    <rPh sb="58" eb="60">
      <t>サキダ</t>
    </rPh>
    <rPh sb="63" eb="64">
      <t>ガツ</t>
    </rPh>
    <rPh sb="65" eb="66">
      <t>ニチ</t>
    </rPh>
    <rPh sb="67" eb="69">
      <t>ガッコウ</t>
    </rPh>
    <rPh sb="69" eb="71">
      <t>キョウイク</t>
    </rPh>
    <rPh sb="72" eb="74">
      <t>シャカイ</t>
    </rPh>
    <rPh sb="74" eb="76">
      <t>キョウイク</t>
    </rPh>
    <rPh sb="76" eb="78">
      <t>カンケイ</t>
    </rPh>
    <rPh sb="78" eb="79">
      <t>シャ</t>
    </rPh>
    <rPh sb="81" eb="82">
      <t>ナ</t>
    </rPh>
    <rPh sb="84" eb="86">
      <t>ガッコウ</t>
    </rPh>
    <rPh sb="87" eb="88">
      <t>ニチ</t>
    </rPh>
    <rPh sb="88" eb="89">
      <t>セイ</t>
    </rPh>
    <rPh sb="89" eb="91">
      <t>ジッシ</t>
    </rPh>
    <rPh sb="91" eb="93">
      <t>ケントウ</t>
    </rPh>
    <rPh sb="93" eb="96">
      <t>イインカイ</t>
    </rPh>
    <rPh sb="98" eb="100">
      <t>ホッソク</t>
    </rPh>
    <rPh sb="108" eb="111">
      <t>モンダイテン</t>
    </rPh>
    <rPh sb="112" eb="114">
      <t>トウギ</t>
    </rPh>
    <phoneticPr fontId="2"/>
  </si>
  <si>
    <t>生涯学習推進会議を設置する</t>
    <rPh sb="0" eb="2">
      <t>ショウガイ</t>
    </rPh>
    <rPh sb="2" eb="4">
      <t>ガクシュウ</t>
    </rPh>
    <rPh sb="4" eb="6">
      <t>スイシン</t>
    </rPh>
    <rPh sb="6" eb="8">
      <t>カイギ</t>
    </rPh>
    <rPh sb="9" eb="11">
      <t>セッチ</t>
    </rPh>
    <phoneticPr fontId="2"/>
  </si>
  <si>
    <t>『亀山のあゆみ』P.427・年表</t>
    <phoneticPr fontId="2"/>
  </si>
  <si>
    <t>市老人クラブ連合会が初のペタンク大会を開く</t>
    <rPh sb="0" eb="1">
      <t>シ</t>
    </rPh>
    <rPh sb="1" eb="3">
      <t>ロウジン</t>
    </rPh>
    <rPh sb="6" eb="9">
      <t>レンゴウカイ</t>
    </rPh>
    <rPh sb="10" eb="11">
      <t>ハツ</t>
    </rPh>
    <rPh sb="16" eb="18">
      <t>タイカイ</t>
    </rPh>
    <rPh sb="19" eb="20">
      <t>ヒラ</t>
    </rPh>
    <phoneticPr fontId="2"/>
  </si>
  <si>
    <t>亀山商工会議所青年部会が「かめやま飲み食いマップ」を作成</t>
    <rPh sb="0" eb="2">
      <t>カメヤマ</t>
    </rPh>
    <rPh sb="2" eb="4">
      <t>ショウコウ</t>
    </rPh>
    <rPh sb="4" eb="7">
      <t>カイギショ</t>
    </rPh>
    <rPh sb="7" eb="9">
      <t>セイネン</t>
    </rPh>
    <rPh sb="9" eb="10">
      <t>ブ</t>
    </rPh>
    <rPh sb="10" eb="11">
      <t>カイ</t>
    </rPh>
    <rPh sb="17" eb="18">
      <t>ノ</t>
    </rPh>
    <rPh sb="19" eb="20">
      <t>ク</t>
    </rPh>
    <rPh sb="26" eb="28">
      <t>サクセイ</t>
    </rPh>
    <phoneticPr fontId="2"/>
  </si>
  <si>
    <t>日本の歴史の中の亀山／現代の亀山／産業／商業／商工会議所</t>
    <rPh sb="20" eb="22">
      <t>ショウギョウ</t>
    </rPh>
    <rPh sb="23" eb="28">
      <t>ショウコウカイギショ</t>
    </rPh>
    <phoneticPr fontId="2"/>
  </si>
  <si>
    <t>山下町に「タートルエースゴルフ場」がオープン</t>
    <rPh sb="0" eb="3">
      <t>ヤマシタチョウ</t>
    </rPh>
    <rPh sb="15" eb="16">
      <t>バ</t>
    </rPh>
    <phoneticPr fontId="2"/>
  </si>
  <si>
    <t>タートルエースゴルフ場</t>
    <phoneticPr fontId="2"/>
  </si>
  <si>
    <t>市立図書館が本の貸出や返却手続きをコンピューター処理化する</t>
    <rPh sb="0" eb="2">
      <t>シリツ</t>
    </rPh>
    <rPh sb="2" eb="5">
      <t>トショカン</t>
    </rPh>
    <rPh sb="6" eb="7">
      <t>ホン</t>
    </rPh>
    <rPh sb="8" eb="10">
      <t>カシダシ</t>
    </rPh>
    <rPh sb="11" eb="13">
      <t>ヘンキャク</t>
    </rPh>
    <rPh sb="13" eb="15">
      <t>テツヅ</t>
    </rPh>
    <rPh sb="24" eb="26">
      <t>ショリ</t>
    </rPh>
    <rPh sb="26" eb="27">
      <t>カ</t>
    </rPh>
    <phoneticPr fontId="2"/>
  </si>
  <si>
    <t>市立図書館</t>
    <phoneticPr fontId="2"/>
  </si>
  <si>
    <t>『亀山のあゆみ』P.431・年表</t>
    <phoneticPr fontId="2"/>
  </si>
  <si>
    <t>東樺野遺跡発掘調査完了</t>
    <rPh sb="0" eb="1">
      <t>ヒガシ</t>
    </rPh>
    <rPh sb="1" eb="2">
      <t>カバ</t>
    </rPh>
    <rPh sb="2" eb="3">
      <t>ノ</t>
    </rPh>
    <rPh sb="3" eb="5">
      <t>イセキ</t>
    </rPh>
    <rPh sb="5" eb="7">
      <t>ハックツ</t>
    </rPh>
    <rPh sb="7" eb="9">
      <t>チョウサ</t>
    </rPh>
    <rPh sb="9" eb="11">
      <t>カンリョウ</t>
    </rPh>
    <phoneticPr fontId="2"/>
  </si>
  <si>
    <t>菅内町</t>
    <rPh sb="0" eb="3">
      <t>スガウチチョウ</t>
    </rPh>
    <phoneticPr fontId="2"/>
  </si>
  <si>
    <t>『亀山のあゆみ』年表
『東樺野遺跡』
『亀山市史』考古分野</t>
    <rPh sb="19" eb="29">
      <t>カ</t>
    </rPh>
    <phoneticPr fontId="2"/>
  </si>
  <si>
    <t>世代間の交流を図る「亀山雑学大学」発足</t>
    <rPh sb="0" eb="3">
      <t>セダイカン</t>
    </rPh>
    <rPh sb="4" eb="6">
      <t>コウリュウ</t>
    </rPh>
    <rPh sb="7" eb="8">
      <t>ハカ</t>
    </rPh>
    <rPh sb="10" eb="11">
      <t>カメ</t>
    </rPh>
    <rPh sb="11" eb="12">
      <t>ヤマ</t>
    </rPh>
    <rPh sb="12" eb="14">
      <t>ザツガク</t>
    </rPh>
    <rPh sb="14" eb="16">
      <t>ダイガク</t>
    </rPh>
    <rPh sb="17" eb="19">
      <t>ホッソク</t>
    </rPh>
    <phoneticPr fontId="2"/>
  </si>
  <si>
    <t>亀山青年会議所が「ヤマトタケル太鼓と舞」を能褒野神社で初披露する</t>
    <rPh sb="0" eb="2">
      <t>カメヤマ</t>
    </rPh>
    <rPh sb="2" eb="4">
      <t>セイネン</t>
    </rPh>
    <rPh sb="4" eb="7">
      <t>カイギショ</t>
    </rPh>
    <rPh sb="15" eb="17">
      <t>タイコ</t>
    </rPh>
    <rPh sb="18" eb="19">
      <t>マ</t>
    </rPh>
    <rPh sb="21" eb="24">
      <t>ノボノ</t>
    </rPh>
    <rPh sb="24" eb="26">
      <t>ジンジャ</t>
    </rPh>
    <rPh sb="27" eb="28">
      <t>ハツ</t>
    </rPh>
    <rPh sb="28" eb="30">
      <t>ヒロウ</t>
    </rPh>
    <phoneticPr fontId="2"/>
  </si>
  <si>
    <t>能褒野神社</t>
    <phoneticPr fontId="2"/>
  </si>
  <si>
    <t>亀山のむかしばなし／亀山にまつわるひとびとの話／ヤマトタケル</t>
    <rPh sb="0" eb="2">
      <t>カメヤマ</t>
    </rPh>
    <rPh sb="10" eb="12">
      <t>カメヤマ</t>
    </rPh>
    <rPh sb="22" eb="23">
      <t>ハナシ</t>
    </rPh>
    <phoneticPr fontId="2"/>
  </si>
  <si>
    <t>古典に出てくる亀山／旅</t>
    <rPh sb="0" eb="2">
      <t>コテン</t>
    </rPh>
    <rPh sb="3" eb="4">
      <t>デ</t>
    </rPh>
    <rPh sb="7" eb="9">
      <t>カメヤマ</t>
    </rPh>
    <rPh sb="10" eb="11">
      <t>タビ</t>
    </rPh>
    <phoneticPr fontId="2"/>
  </si>
  <si>
    <t>県道大山田加太停車場線開通</t>
    <rPh sb="0" eb="2">
      <t>ケンドウ</t>
    </rPh>
    <rPh sb="2" eb="5">
      <t>オオヤマダ</t>
    </rPh>
    <rPh sb="5" eb="7">
      <t>カブト</t>
    </rPh>
    <rPh sb="7" eb="9">
      <t>テイシャ</t>
    </rPh>
    <rPh sb="9" eb="10">
      <t>バ</t>
    </rPh>
    <rPh sb="10" eb="11">
      <t>セン</t>
    </rPh>
    <rPh sb="11" eb="13">
      <t>カイツウ</t>
    </rPh>
    <phoneticPr fontId="2"/>
  </si>
  <si>
    <t>関町総合スポーツ公園オープン</t>
    <rPh sb="0" eb="2">
      <t>セキチョウ</t>
    </rPh>
    <rPh sb="2" eb="4">
      <t>ソウゴウ</t>
    </rPh>
    <rPh sb="8" eb="10">
      <t>コウエン</t>
    </rPh>
    <phoneticPr fontId="2"/>
  </si>
  <si>
    <t>関宿町並みに地道風カラー舗装工事完成</t>
    <rPh sb="0" eb="1">
      <t>セキ</t>
    </rPh>
    <rPh sb="1" eb="2">
      <t>ヤド</t>
    </rPh>
    <rPh sb="2" eb="4">
      <t>マチナ</t>
    </rPh>
    <rPh sb="6" eb="8">
      <t>ジミチ</t>
    </rPh>
    <rPh sb="8" eb="9">
      <t>フウ</t>
    </rPh>
    <rPh sb="12" eb="14">
      <t>ホソウ</t>
    </rPh>
    <rPh sb="14" eb="16">
      <t>コウジ</t>
    </rPh>
    <rPh sb="16" eb="18">
      <t>カンセイ</t>
    </rPh>
    <phoneticPr fontId="2"/>
  </si>
  <si>
    <t>関宿</t>
    <rPh sb="0" eb="2">
      <t>セキジュク</t>
    </rPh>
    <phoneticPr fontId="2"/>
  </si>
  <si>
    <t>関町テレビ中継放送所開局（アナログ放送）</t>
    <rPh sb="0" eb="2">
      <t>セキチョウ</t>
    </rPh>
    <rPh sb="5" eb="7">
      <t>チュウケイ</t>
    </rPh>
    <rPh sb="7" eb="9">
      <t>ホウソウ</t>
    </rPh>
    <rPh sb="9" eb="10">
      <t>ジョ</t>
    </rPh>
    <rPh sb="10" eb="12">
      <t>カイキョク</t>
    </rPh>
    <rPh sb="17" eb="19">
      <t>ホウソウ</t>
    </rPh>
    <phoneticPr fontId="2"/>
  </si>
  <si>
    <t>国連平和維持活動協力法が成立する</t>
  </si>
  <si>
    <t>平成5</t>
    <phoneticPr fontId="2"/>
  </si>
  <si>
    <t>市役所が保育所、消防など一部を除き、毎週土曜が休みとなる</t>
    <rPh sb="0" eb="3">
      <t>シヤクショ</t>
    </rPh>
    <rPh sb="4" eb="6">
      <t>ホイク</t>
    </rPh>
    <rPh sb="6" eb="7">
      <t>ショ</t>
    </rPh>
    <rPh sb="8" eb="10">
      <t>ショウボウ</t>
    </rPh>
    <rPh sb="12" eb="14">
      <t>イチブ</t>
    </rPh>
    <rPh sb="15" eb="16">
      <t>ノゾ</t>
    </rPh>
    <rPh sb="18" eb="20">
      <t>マイシュウ</t>
    </rPh>
    <rPh sb="20" eb="22">
      <t>ドヨウ</t>
    </rPh>
    <rPh sb="23" eb="24">
      <t>ヤス</t>
    </rPh>
    <phoneticPr fontId="2"/>
  </si>
  <si>
    <t>第１回亀山・江戸の道シティマラソン大会開催</t>
    <rPh sb="0" eb="1">
      <t>ダイ</t>
    </rPh>
    <rPh sb="2" eb="3">
      <t>カイ</t>
    </rPh>
    <rPh sb="3" eb="5">
      <t>カメヤマ</t>
    </rPh>
    <rPh sb="6" eb="8">
      <t>エド</t>
    </rPh>
    <rPh sb="9" eb="10">
      <t>ミチ</t>
    </rPh>
    <rPh sb="17" eb="19">
      <t>タイカイ</t>
    </rPh>
    <rPh sb="19" eb="21">
      <t>カイサイ</t>
    </rPh>
    <phoneticPr fontId="2"/>
  </si>
  <si>
    <t>安坂山町坂本地区に市内で４番目の農村公園が完成</t>
    <rPh sb="0" eb="4">
      <t>アサカヤマチョウ</t>
    </rPh>
    <rPh sb="4" eb="6">
      <t>サカモト</t>
    </rPh>
    <rPh sb="6" eb="8">
      <t>チク</t>
    </rPh>
    <rPh sb="9" eb="11">
      <t>シナイ</t>
    </rPh>
    <rPh sb="13" eb="15">
      <t>バンメ</t>
    </rPh>
    <rPh sb="16" eb="18">
      <t>ノウソン</t>
    </rPh>
    <rPh sb="18" eb="20">
      <t>コウエン</t>
    </rPh>
    <rPh sb="21" eb="23">
      <t>カンセイ</t>
    </rPh>
    <phoneticPr fontId="2"/>
  </si>
  <si>
    <t>安坂山町</t>
    <phoneticPr fontId="2"/>
  </si>
  <si>
    <t>農村公園</t>
  </si>
  <si>
    <t>『亀山のあゆみ』P.324・年表</t>
    <phoneticPr fontId="2"/>
  </si>
  <si>
    <t>太岡寺町畷桜づつみ整備工事が完成</t>
    <rPh sb="0" eb="4">
      <t>タイコウジチョウ</t>
    </rPh>
    <rPh sb="4" eb="5">
      <t>ナワテ</t>
    </rPh>
    <rPh sb="5" eb="6">
      <t>サクラ</t>
    </rPh>
    <rPh sb="9" eb="11">
      <t>セイビ</t>
    </rPh>
    <rPh sb="11" eb="13">
      <t>コウジ</t>
    </rPh>
    <rPh sb="14" eb="16">
      <t>カンセイ</t>
    </rPh>
    <phoneticPr fontId="2"/>
  </si>
  <si>
    <t>太岡寺町</t>
    <phoneticPr fontId="2"/>
  </si>
  <si>
    <t>太岡寺町畷</t>
    <phoneticPr fontId="2"/>
  </si>
  <si>
    <t>忍山遺跡を発掘調査</t>
    <rPh sb="0" eb="1">
      <t>シノ</t>
    </rPh>
    <rPh sb="1" eb="2">
      <t>ヤマ</t>
    </rPh>
    <rPh sb="2" eb="4">
      <t>イセキ</t>
    </rPh>
    <rPh sb="5" eb="7">
      <t>ハックツ</t>
    </rPh>
    <rPh sb="7" eb="9">
      <t>チョウサ</t>
    </rPh>
    <phoneticPr fontId="2"/>
  </si>
  <si>
    <t>亀山西</t>
    <rPh sb="0" eb="1">
      <t>カメ</t>
    </rPh>
    <rPh sb="1" eb="2">
      <t>ヤマ</t>
    </rPh>
    <rPh sb="2" eb="3">
      <t>ニシ</t>
    </rPh>
    <phoneticPr fontId="2"/>
  </si>
  <si>
    <t>忍山遺跡</t>
    <phoneticPr fontId="2"/>
  </si>
  <si>
    <t>忍山遺跡出土品</t>
    <phoneticPr fontId="2"/>
  </si>
  <si>
    <t>日本の歴史の中の亀山／古代の亀山／亀山のあけぼの／人が住み始めたころの亀山／縄文時代の暮らし／忍山遺跡</t>
    <rPh sb="47" eb="48">
      <t>オシ</t>
    </rPh>
    <rPh sb="48" eb="49">
      <t>ヤマ</t>
    </rPh>
    <rPh sb="49" eb="51">
      <t>イセキ</t>
    </rPh>
    <phoneticPr fontId="2"/>
  </si>
  <si>
    <t>http://kameyamarekihaku.jp/kodomo/w_e_b/rekishi/kodai/akebono/jomon/page005.html</t>
  </si>
  <si>
    <t>『亀山のあゆみ』年表
『忍山遺跡』</t>
  </si>
  <si>
    <t>平成5</t>
    <phoneticPr fontId="2"/>
  </si>
  <si>
    <t>北町に北東地区集会所、阿野田町御座に東部地区集会所が完成</t>
    <rPh sb="0" eb="2">
      <t>キタマチ</t>
    </rPh>
    <rPh sb="3" eb="5">
      <t>ホクトウ</t>
    </rPh>
    <rPh sb="5" eb="7">
      <t>チク</t>
    </rPh>
    <rPh sb="7" eb="9">
      <t>シュウカイ</t>
    </rPh>
    <rPh sb="9" eb="10">
      <t>ジョ</t>
    </rPh>
    <rPh sb="11" eb="14">
      <t>アノダ</t>
    </rPh>
    <rPh sb="14" eb="15">
      <t>マチ</t>
    </rPh>
    <rPh sb="15" eb="16">
      <t>ミ</t>
    </rPh>
    <rPh sb="16" eb="17">
      <t>ザ</t>
    </rPh>
    <rPh sb="18" eb="20">
      <t>トウブ</t>
    </rPh>
    <rPh sb="20" eb="22">
      <t>チク</t>
    </rPh>
    <rPh sb="22" eb="24">
      <t>シュウカイ</t>
    </rPh>
    <rPh sb="24" eb="25">
      <t>ショ</t>
    </rPh>
    <rPh sb="26" eb="28">
      <t>カンセイ</t>
    </rPh>
    <phoneticPr fontId="2"/>
  </si>
  <si>
    <t>北町・阿野田町</t>
    <rPh sb="0" eb="2">
      <t>キタマチ</t>
    </rPh>
    <rPh sb="3" eb="7">
      <t>アノダチョウ</t>
    </rPh>
    <phoneticPr fontId="2"/>
  </si>
  <si>
    <t>北東地区集会所・東部地区集会所</t>
    <phoneticPr fontId="2"/>
  </si>
  <si>
    <t>史跡「和田一里塚」を整備、塚を再現</t>
    <rPh sb="0" eb="2">
      <t>シセキ</t>
    </rPh>
    <rPh sb="3" eb="5">
      <t>ワダ</t>
    </rPh>
    <rPh sb="5" eb="7">
      <t>イチリ</t>
    </rPh>
    <rPh sb="7" eb="8">
      <t>ツカ</t>
    </rPh>
    <rPh sb="10" eb="12">
      <t>セイビ</t>
    </rPh>
    <rPh sb="13" eb="14">
      <t>ツカ</t>
    </rPh>
    <rPh sb="15" eb="17">
      <t>サイゲン</t>
    </rPh>
    <phoneticPr fontId="2"/>
  </si>
  <si>
    <t>和田町</t>
    <rPh sb="0" eb="3">
      <t>ワダチョウ</t>
    </rPh>
    <phoneticPr fontId="2"/>
  </si>
  <si>
    <t>和田一里塚</t>
    <phoneticPr fontId="2"/>
  </si>
  <si>
    <t>和田一里塚（再現）</t>
    <rPh sb="0" eb="2">
      <t>ワダ</t>
    </rPh>
    <rPh sb="2" eb="5">
      <t>イチリヅカ</t>
    </rPh>
    <rPh sb="6" eb="8">
      <t>サイゲン</t>
    </rPh>
    <phoneticPr fontId="2"/>
  </si>
  <si>
    <t>むかしの道と交通／亀山の近世の道／一里塚</t>
    <rPh sb="4" eb="5">
      <t>ミチ</t>
    </rPh>
    <rPh sb="6" eb="9">
      <t>コウツウ・</t>
    </rPh>
    <rPh sb="9" eb="11">
      <t>カメヤマ</t>
    </rPh>
    <rPh sb="12" eb="14">
      <t>キンセイ</t>
    </rPh>
    <rPh sb="15" eb="16">
      <t>ミチ</t>
    </rPh>
    <rPh sb="17" eb="20">
      <t>イチリヅカ</t>
    </rPh>
    <phoneticPr fontId="2"/>
  </si>
  <si>
    <t>亀山城多門櫓で郷土資料展「日本名城写真と城郭古絵図」開催</t>
    <rPh sb="0" eb="3">
      <t>カメヤマジョウ</t>
    </rPh>
    <rPh sb="3" eb="5">
      <t>タモン</t>
    </rPh>
    <rPh sb="5" eb="6">
      <t>ヤグラ</t>
    </rPh>
    <rPh sb="7" eb="9">
      <t>キョウド</t>
    </rPh>
    <rPh sb="9" eb="11">
      <t>シリョウ</t>
    </rPh>
    <rPh sb="11" eb="12">
      <t>テン</t>
    </rPh>
    <rPh sb="13" eb="15">
      <t>ニホン</t>
    </rPh>
    <rPh sb="15" eb="17">
      <t>メイジョウ</t>
    </rPh>
    <rPh sb="17" eb="19">
      <t>シャシン</t>
    </rPh>
    <rPh sb="20" eb="22">
      <t>ジョウカク</t>
    </rPh>
    <rPh sb="22" eb="23">
      <t>コ</t>
    </rPh>
    <rPh sb="23" eb="25">
      <t>エズ</t>
    </rPh>
    <rPh sb="26" eb="28">
      <t>カイサイ</t>
    </rPh>
    <phoneticPr fontId="2"/>
  </si>
  <si>
    <t>亀山城多門櫓</t>
    <phoneticPr fontId="2"/>
  </si>
  <si>
    <t>安知本町に南部地区集会所が完成</t>
    <rPh sb="0" eb="4">
      <t>アチモトチョウ</t>
    </rPh>
    <rPh sb="5" eb="7">
      <t>ナンブ</t>
    </rPh>
    <rPh sb="7" eb="9">
      <t>チク</t>
    </rPh>
    <rPh sb="9" eb="11">
      <t>シュウカイ</t>
    </rPh>
    <rPh sb="11" eb="12">
      <t>ショ</t>
    </rPh>
    <rPh sb="13" eb="15">
      <t>カンセイ</t>
    </rPh>
    <phoneticPr fontId="2"/>
  </si>
  <si>
    <t>安知本町</t>
    <phoneticPr fontId="2"/>
  </si>
  <si>
    <t>南部地区集会所</t>
    <phoneticPr fontId="2"/>
  </si>
  <si>
    <t>井田川など市内17地区の集会所の便所を水洗式に改修</t>
    <rPh sb="0" eb="3">
      <t>イダガワ</t>
    </rPh>
    <rPh sb="5" eb="7">
      <t>シナイ</t>
    </rPh>
    <rPh sb="9" eb="11">
      <t>チク</t>
    </rPh>
    <rPh sb="12" eb="14">
      <t>シュウカイ</t>
    </rPh>
    <rPh sb="14" eb="15">
      <t>ショ</t>
    </rPh>
    <rPh sb="16" eb="18">
      <t>ベンジョ</t>
    </rPh>
    <rPh sb="19" eb="21">
      <t>スイセン</t>
    </rPh>
    <rPh sb="21" eb="22">
      <t>シキ</t>
    </rPh>
    <rPh sb="23" eb="25">
      <t>カイシュウ</t>
    </rPh>
    <phoneticPr fontId="2"/>
  </si>
  <si>
    <t>亀山駅前発展会が駅前通りで「まちなみ楽市」を開催
10月から来年１月の各第２土曜の計４回</t>
    <rPh sb="0" eb="2">
      <t>カメヤマ</t>
    </rPh>
    <rPh sb="2" eb="4">
      <t>エキマエ</t>
    </rPh>
    <rPh sb="4" eb="6">
      <t>ハッテン</t>
    </rPh>
    <rPh sb="6" eb="7">
      <t>カイ</t>
    </rPh>
    <rPh sb="8" eb="9">
      <t>エキ</t>
    </rPh>
    <rPh sb="9" eb="10">
      <t>マエ</t>
    </rPh>
    <rPh sb="10" eb="11">
      <t>トオ</t>
    </rPh>
    <rPh sb="18" eb="20">
      <t>ラクイチ</t>
    </rPh>
    <rPh sb="22" eb="24">
      <t>カイサイ</t>
    </rPh>
    <rPh sb="27" eb="28">
      <t>ガツ</t>
    </rPh>
    <rPh sb="30" eb="32">
      <t>ライネン</t>
    </rPh>
    <rPh sb="33" eb="34">
      <t>ガツ</t>
    </rPh>
    <rPh sb="35" eb="36">
      <t>カク</t>
    </rPh>
    <rPh sb="36" eb="37">
      <t>ダイ</t>
    </rPh>
    <rPh sb="38" eb="40">
      <t>ドヨウ</t>
    </rPh>
    <rPh sb="41" eb="42">
      <t>ケイ</t>
    </rPh>
    <rPh sb="43" eb="44">
      <t>カイ</t>
    </rPh>
    <phoneticPr fontId="2"/>
  </si>
  <si>
    <t>市教委が歌川広重の浮世絵「雪晴」を購入</t>
    <rPh sb="0" eb="1">
      <t>シ</t>
    </rPh>
    <rPh sb="1" eb="3">
      <t>キョウイ</t>
    </rPh>
    <rPh sb="4" eb="6">
      <t>ウタガワ</t>
    </rPh>
    <rPh sb="6" eb="8">
      <t>ヒロシゲ</t>
    </rPh>
    <rPh sb="9" eb="12">
      <t>ウキヨエ</t>
    </rPh>
    <rPh sb="13" eb="14">
      <t>ユキ</t>
    </rPh>
    <rPh sb="14" eb="15">
      <t>ハ</t>
    </rPh>
    <rPh sb="17" eb="19">
      <t>コウニュウ</t>
    </rPh>
    <phoneticPr fontId="2"/>
  </si>
  <si>
    <t>亀山城と宿場／亀山城のつくり／京口門</t>
    <rPh sb="15" eb="17">
      <t>キョウグチ</t>
    </rPh>
    <phoneticPr fontId="2"/>
  </si>
  <si>
    <t>『亀山のあゆみ』年表
web図録企画展web図録</t>
    <rPh sb="16" eb="18">
      <t>キカク</t>
    </rPh>
    <rPh sb="18" eb="19">
      <t>テン</t>
    </rPh>
    <phoneticPr fontId="2"/>
  </si>
  <si>
    <t>日本の歴史の中の亀山／近世の亀山／新しい学問と化政文化／亀山・関・坂之下を描いた浮世絵</t>
    <rPh sb="28" eb="30">
      <t>カメヤマ</t>
    </rPh>
    <rPh sb="31" eb="32">
      <t>セキ</t>
    </rPh>
    <rPh sb="33" eb="36">
      <t>サカノシタ</t>
    </rPh>
    <rPh sb="37" eb="38">
      <t>エガ</t>
    </rPh>
    <rPh sb="40" eb="43">
      <t>ウキヨエ</t>
    </rPh>
    <phoneticPr fontId="2"/>
  </si>
  <si>
    <t>http://kameyamarekihaku.jp/kodomo/w_e_b/rekishi/kinsei/kaseibunka/page002.html</t>
  </si>
  <si>
    <t>川合町地内の東野公園に体育館が完成</t>
    <rPh sb="0" eb="3">
      <t>カワイチョウ</t>
    </rPh>
    <rPh sb="3" eb="4">
      <t>チ</t>
    </rPh>
    <rPh sb="4" eb="5">
      <t>ナイ</t>
    </rPh>
    <rPh sb="6" eb="7">
      <t>ヒガシ</t>
    </rPh>
    <rPh sb="7" eb="8">
      <t>ノ</t>
    </rPh>
    <rPh sb="8" eb="10">
      <t>コウエン</t>
    </rPh>
    <rPh sb="11" eb="14">
      <t>タイイクカン</t>
    </rPh>
    <rPh sb="15" eb="17">
      <t>カンセイ</t>
    </rPh>
    <phoneticPr fontId="2"/>
  </si>
  <si>
    <t>東野公園</t>
    <rPh sb="0" eb="1">
      <t>ヒガシ</t>
    </rPh>
    <rPh sb="1" eb="2">
      <t>ノ</t>
    </rPh>
    <rPh sb="2" eb="4">
      <t>コウエン</t>
    </rPh>
    <phoneticPr fontId="2"/>
  </si>
  <si>
    <t>『亀山のあゆみ』P.444・年表</t>
    <phoneticPr fontId="2"/>
  </si>
  <si>
    <t>坂下保育園廃園</t>
    <rPh sb="0" eb="2">
      <t>サカシタ</t>
    </rPh>
    <rPh sb="2" eb="5">
      <t>ホイクエン</t>
    </rPh>
    <rPh sb="5" eb="7">
      <t>ハイエン</t>
    </rPh>
    <phoneticPr fontId="2"/>
  </si>
  <si>
    <t>県道津関線勧進橋竣工</t>
    <rPh sb="0" eb="2">
      <t>ケンドウ</t>
    </rPh>
    <rPh sb="2" eb="3">
      <t>ツ</t>
    </rPh>
    <rPh sb="3" eb="4">
      <t>セキ</t>
    </rPh>
    <rPh sb="4" eb="5">
      <t>セン</t>
    </rPh>
    <rPh sb="5" eb="7">
      <t>カンジン</t>
    </rPh>
    <rPh sb="7" eb="8">
      <t>バシ</t>
    </rPh>
    <rPh sb="8" eb="10">
      <t>シュンコウ</t>
    </rPh>
    <phoneticPr fontId="2"/>
  </si>
  <si>
    <t>町道（旧関町）市場阪東線開通</t>
    <rPh sb="0" eb="1">
      <t>マチ</t>
    </rPh>
    <rPh sb="1" eb="2">
      <t>ミチ</t>
    </rPh>
    <rPh sb="3" eb="4">
      <t>キュウ</t>
    </rPh>
    <rPh sb="4" eb="6">
      <t>セキチョウ</t>
    </rPh>
    <rPh sb="7" eb="9">
      <t>イチバ</t>
    </rPh>
    <rPh sb="9" eb="11">
      <t>バンドウ</t>
    </rPh>
    <rPh sb="11" eb="12">
      <t>セン</t>
    </rPh>
    <rPh sb="12" eb="14">
      <t>カイツウ</t>
    </rPh>
    <phoneticPr fontId="2"/>
  </si>
  <si>
    <t>平成5</t>
  </si>
  <si>
    <t>法隆寺と姫路城が日本ではじめて世界文化遺産となる</t>
  </si>
  <si>
    <t>平成6</t>
  </si>
  <si>
    <t>し尿汲み取り料金、一般廃棄物の処理料金が改定</t>
    <rPh sb="1" eb="2">
      <t>ニョウ</t>
    </rPh>
    <rPh sb="2" eb="3">
      <t>ク</t>
    </rPh>
    <rPh sb="4" eb="5">
      <t>ト</t>
    </rPh>
    <rPh sb="6" eb="8">
      <t>リョウキン</t>
    </rPh>
    <rPh sb="9" eb="11">
      <t>イッパン</t>
    </rPh>
    <rPh sb="11" eb="14">
      <t>ハイキブツ</t>
    </rPh>
    <rPh sb="15" eb="17">
      <t>ショリ</t>
    </rPh>
    <rPh sb="17" eb="19">
      <t>リョウキン</t>
    </rPh>
    <rPh sb="20" eb="22">
      <t>カイテイ</t>
    </rPh>
    <phoneticPr fontId="2"/>
  </si>
  <si>
    <t>「生涯学習フェスティバル」開催</t>
    <rPh sb="1" eb="3">
      <t>ショウガイ</t>
    </rPh>
    <rPh sb="3" eb="5">
      <t>ガクシュウ</t>
    </rPh>
    <rPh sb="13" eb="15">
      <t>カイサイ</t>
    </rPh>
    <phoneticPr fontId="2"/>
  </si>
  <si>
    <t>『亀山のあゆみ』P.427・年表</t>
    <phoneticPr fontId="2"/>
  </si>
  <si>
    <t>「亀山こども劇場をつくる会」結成</t>
    <rPh sb="1" eb="3">
      <t>カメヤマ</t>
    </rPh>
    <rPh sb="6" eb="8">
      <t>ゲキジョウ</t>
    </rPh>
    <rPh sb="12" eb="13">
      <t>カイ</t>
    </rPh>
    <rPh sb="14" eb="16">
      <t>ケッセイ</t>
    </rPh>
    <phoneticPr fontId="2"/>
  </si>
  <si>
    <t>亀山地区井尻集落排水整備工事が完成</t>
    <rPh sb="0" eb="2">
      <t>カメヤマ</t>
    </rPh>
    <rPh sb="2" eb="4">
      <t>チク</t>
    </rPh>
    <rPh sb="4" eb="6">
      <t>イジリ</t>
    </rPh>
    <rPh sb="6" eb="8">
      <t>シュウラク</t>
    </rPh>
    <rPh sb="8" eb="10">
      <t>ハイスイ</t>
    </rPh>
    <rPh sb="10" eb="12">
      <t>セイビ</t>
    </rPh>
    <rPh sb="12" eb="14">
      <t>コウジ</t>
    </rPh>
    <rPh sb="15" eb="17">
      <t>カンセイ</t>
    </rPh>
    <phoneticPr fontId="2"/>
  </si>
  <si>
    <t>住山・川崎・田村・小川・東御幸の５地区に防火水槽を新設</t>
    <rPh sb="0" eb="1">
      <t>ス</t>
    </rPh>
    <rPh sb="1" eb="2">
      <t>ヤマ</t>
    </rPh>
    <rPh sb="3" eb="5">
      <t>カワサキ</t>
    </rPh>
    <rPh sb="6" eb="8">
      <t>タムラ</t>
    </rPh>
    <rPh sb="9" eb="11">
      <t>オガワ</t>
    </rPh>
    <rPh sb="12" eb="13">
      <t>ヒガシ</t>
    </rPh>
    <rPh sb="13" eb="14">
      <t>ミ</t>
    </rPh>
    <rPh sb="14" eb="15">
      <t>ユキ</t>
    </rPh>
    <rPh sb="17" eb="19">
      <t>チク</t>
    </rPh>
    <rPh sb="20" eb="22">
      <t>ボウカ</t>
    </rPh>
    <rPh sb="22" eb="24">
      <t>スイソウ</t>
    </rPh>
    <rPh sb="25" eb="27">
      <t>シンセツ</t>
    </rPh>
    <phoneticPr fontId="2"/>
  </si>
  <si>
    <t>亀山西・川崎・白川</t>
    <rPh sb="0" eb="2">
      <t>カメヤマ</t>
    </rPh>
    <rPh sb="2" eb="3">
      <t>ニシ</t>
    </rPh>
    <rPh sb="4" eb="6">
      <t>カワサキ</t>
    </rPh>
    <rPh sb="7" eb="9">
      <t>シラカワ</t>
    </rPh>
    <phoneticPr fontId="2"/>
  </si>
  <si>
    <t>住山町・川崎町・田村町・小川町・東御幸町</t>
    <rPh sb="2" eb="3">
      <t>チョウ</t>
    </rPh>
    <rPh sb="6" eb="7">
      <t>チョウ</t>
    </rPh>
    <rPh sb="10" eb="11">
      <t>チョウ</t>
    </rPh>
    <rPh sb="14" eb="15">
      <t>チョウ</t>
    </rPh>
    <rPh sb="19" eb="20">
      <t>チョウ</t>
    </rPh>
    <phoneticPr fontId="2"/>
  </si>
  <si>
    <t>防火水槽</t>
    <phoneticPr fontId="2"/>
  </si>
  <si>
    <t>木下地区に市内で５番目の農村公園が完成</t>
    <rPh sb="0" eb="1">
      <t>キ</t>
    </rPh>
    <rPh sb="1" eb="2">
      <t>シタ</t>
    </rPh>
    <rPh sb="2" eb="4">
      <t>チク</t>
    </rPh>
    <rPh sb="5" eb="7">
      <t>シナイ</t>
    </rPh>
    <rPh sb="9" eb="11">
      <t>バンメ</t>
    </rPh>
    <rPh sb="12" eb="14">
      <t>ノウソン</t>
    </rPh>
    <rPh sb="14" eb="16">
      <t>コウエン</t>
    </rPh>
    <rPh sb="17" eb="19">
      <t>カンセイ</t>
    </rPh>
    <phoneticPr fontId="2"/>
  </si>
  <si>
    <t>木下町</t>
    <rPh sb="0" eb="2">
      <t>キノシタ</t>
    </rPh>
    <rPh sb="2" eb="3">
      <t>チョウ</t>
    </rPh>
    <phoneticPr fontId="2"/>
  </si>
  <si>
    <t>『亀山のあゆみ』P.324・年表</t>
    <phoneticPr fontId="2"/>
  </si>
  <si>
    <t>ＮＴＴ亀山営業所が廃止となる</t>
    <rPh sb="3" eb="5">
      <t>カメヤマ</t>
    </rPh>
    <rPh sb="5" eb="8">
      <t>エイギョウショ</t>
    </rPh>
    <rPh sb="9" eb="11">
      <t>ハイシ</t>
    </rPh>
    <phoneticPr fontId="2"/>
  </si>
  <si>
    <t>ＮＴＴ亀山営業所</t>
    <phoneticPr fontId="2"/>
  </si>
  <si>
    <t>市立図書館の休館日を月曜日から火曜日に変更</t>
    <rPh sb="0" eb="2">
      <t>シリツ</t>
    </rPh>
    <rPh sb="2" eb="5">
      <t>トショカン</t>
    </rPh>
    <rPh sb="6" eb="9">
      <t>キュウカンビ</t>
    </rPh>
    <rPh sb="10" eb="13">
      <t>ゲツヨウビ</t>
    </rPh>
    <rPh sb="15" eb="18">
      <t>カヨウビ</t>
    </rPh>
    <rPh sb="19" eb="21">
      <t>ヘンコウ</t>
    </rPh>
    <phoneticPr fontId="2"/>
  </si>
  <si>
    <t>亀山市歴史博物館開館</t>
    <phoneticPr fontId="2"/>
  </si>
  <si>
    <t>亀山市歴史博物館</t>
    <phoneticPr fontId="2"/>
  </si>
  <si>
    <t>日本の歴史の中の亀山／現代の亀山／教育と医療・福祉／歴史博物館</t>
    <rPh sb="26" eb="28">
      <t>レキシ</t>
    </rPh>
    <rPh sb="28" eb="31">
      <t>ハクブツカン</t>
    </rPh>
    <phoneticPr fontId="2"/>
  </si>
  <si>
    <t>http://kameyamarekihaku.jp/kodomo/w_e_b/rekishi/gendai/kyoiku/page008.html</t>
  </si>
  <si>
    <t>『亀山のあゆみ』P.315・年表
『亀山市史』通史　近代現代</t>
    <rPh sb="17" eb="30">
      <t>ツ</t>
    </rPh>
    <phoneticPr fontId="2"/>
  </si>
  <si>
    <t>市制施行40周年記念式典を市文化会館で開く</t>
    <rPh sb="0" eb="2">
      <t>シセイ</t>
    </rPh>
    <rPh sb="2" eb="4">
      <t>シコウ</t>
    </rPh>
    <rPh sb="6" eb="8">
      <t>シュウネン</t>
    </rPh>
    <rPh sb="8" eb="10">
      <t>キネン</t>
    </rPh>
    <rPh sb="10" eb="12">
      <t>シキテン</t>
    </rPh>
    <rPh sb="13" eb="14">
      <t>シ</t>
    </rPh>
    <rPh sb="14" eb="16">
      <t>ブンカ</t>
    </rPh>
    <rPh sb="16" eb="18">
      <t>カイカン</t>
    </rPh>
    <rPh sb="19" eb="20">
      <t>ヒラク</t>
    </rPh>
    <phoneticPr fontId="2"/>
  </si>
  <si>
    <t>平成6</t>
    <rPh sb="0" eb="2">
      <t>ヘイセイ</t>
    </rPh>
    <phoneticPr fontId="2"/>
  </si>
  <si>
    <t>若者定住団地「ゆめたうん梶ヶ坂」完成</t>
    <rPh sb="0" eb="2">
      <t>ワカモノ</t>
    </rPh>
    <rPh sb="2" eb="4">
      <t>テイジュウ</t>
    </rPh>
    <rPh sb="4" eb="6">
      <t>ダンチ</t>
    </rPh>
    <rPh sb="12" eb="13">
      <t>カジ</t>
    </rPh>
    <rPh sb="14" eb="15">
      <t>サカ</t>
    </rPh>
    <rPh sb="16" eb="18">
      <t>カンセイ</t>
    </rPh>
    <phoneticPr fontId="2"/>
  </si>
  <si>
    <t>関町梶ヶ坂</t>
    <rPh sb="0" eb="2">
      <t>セキチョウ</t>
    </rPh>
    <rPh sb="2" eb="3">
      <t>カジ</t>
    </rPh>
    <rPh sb="4" eb="5">
      <t>サカ</t>
    </rPh>
    <phoneticPr fontId="2"/>
  </si>
  <si>
    <t>政治改革関連4法成立</t>
  </si>
  <si>
    <t>平成7</t>
  </si>
  <si>
    <t>阪神・淡路大震災がおきる</t>
  </si>
  <si>
    <t>関町上水道第二次拡張工事竣工</t>
    <rPh sb="0" eb="2">
      <t>セキチョウ</t>
    </rPh>
    <rPh sb="2" eb="5">
      <t>ジョウスイドウ</t>
    </rPh>
    <rPh sb="5" eb="7">
      <t>ダイニ</t>
    </rPh>
    <rPh sb="7" eb="8">
      <t>ジ</t>
    </rPh>
    <rPh sb="8" eb="10">
      <t>カクチョウ</t>
    </rPh>
    <rPh sb="10" eb="12">
      <t>コウジ</t>
    </rPh>
    <rPh sb="12" eb="14">
      <t>シュンコウ</t>
    </rPh>
    <phoneticPr fontId="2"/>
  </si>
  <si>
    <t>関町広報無線開局</t>
    <rPh sb="0" eb="2">
      <t>セキチョウ</t>
    </rPh>
    <rPh sb="2" eb="4">
      <t>コウホウ</t>
    </rPh>
    <rPh sb="4" eb="6">
      <t>ムセン</t>
    </rPh>
    <rPh sb="6" eb="8">
      <t>カイキョク</t>
    </rPh>
    <phoneticPr fontId="2"/>
  </si>
  <si>
    <t>伊勢神宮一の鳥居のお木曳き挙行</t>
    <rPh sb="0" eb="2">
      <t>イセ</t>
    </rPh>
    <rPh sb="2" eb="4">
      <t>ジングウ</t>
    </rPh>
    <rPh sb="4" eb="5">
      <t>イチ</t>
    </rPh>
    <rPh sb="6" eb="8">
      <t>トリイ</t>
    </rPh>
    <rPh sb="10" eb="11">
      <t>キ</t>
    </rPh>
    <rPh sb="11" eb="12">
      <t>ヒ</t>
    </rPh>
    <rPh sb="13" eb="15">
      <t>キョコウ</t>
    </rPh>
    <phoneticPr fontId="2"/>
  </si>
  <si>
    <t>関宿の町並みが建設省の「歴史国道」の認定を受ける</t>
    <rPh sb="0" eb="1">
      <t>セキ</t>
    </rPh>
    <rPh sb="1" eb="2">
      <t>ヤド</t>
    </rPh>
    <rPh sb="3" eb="5">
      <t>マチナ</t>
    </rPh>
    <rPh sb="7" eb="10">
      <t>ケンセツショウ</t>
    </rPh>
    <rPh sb="12" eb="14">
      <t>レキシ</t>
    </rPh>
    <rPh sb="14" eb="16">
      <t>コクドウ</t>
    </rPh>
    <rPh sb="18" eb="20">
      <t>ニンテイ</t>
    </rPh>
    <rPh sb="21" eb="22">
      <t>ウ</t>
    </rPh>
    <phoneticPr fontId="2"/>
  </si>
  <si>
    <t>亀山城と宿場／４つの宿場／東海道・伊勢街道・大和街道分岐の宿場 関宿</t>
    <rPh sb="0" eb="3">
      <t>カメヤマジョウ</t>
    </rPh>
    <rPh sb="4" eb="7">
      <t>シュクバ・</t>
    </rPh>
    <rPh sb="10" eb="12">
      <t>シュクバ</t>
    </rPh>
    <rPh sb="13" eb="16">
      <t>トウカイドウ・</t>
    </rPh>
    <rPh sb="17" eb="31">
      <t>ヤマトカイドウブンキノシュクバ</t>
    </rPh>
    <rPh sb="32" eb="33">
      <t>セキ</t>
    </rPh>
    <rPh sb="33" eb="34">
      <t>ジュク</t>
    </rPh>
    <phoneticPr fontId="2"/>
  </si>
  <si>
    <t>県内初で関町が厚生省から「健康文化と快適なくらしのまち創造プラン事業モデル市町村」の指定を受ける</t>
    <rPh sb="0" eb="2">
      <t>ケンナイ</t>
    </rPh>
    <rPh sb="2" eb="3">
      <t>ハツ</t>
    </rPh>
    <rPh sb="4" eb="6">
      <t>セキチョウ</t>
    </rPh>
    <rPh sb="7" eb="9">
      <t>コウセイ</t>
    </rPh>
    <rPh sb="9" eb="10">
      <t>ショウ</t>
    </rPh>
    <rPh sb="13" eb="15">
      <t>ケンコウ</t>
    </rPh>
    <rPh sb="15" eb="17">
      <t>ブンカ</t>
    </rPh>
    <rPh sb="18" eb="20">
      <t>カイテキ</t>
    </rPh>
    <rPh sb="27" eb="29">
      <t>ソウゾウ</t>
    </rPh>
    <rPh sb="32" eb="34">
      <t>ジギョウ</t>
    </rPh>
    <rPh sb="37" eb="40">
      <t>シチョウソン</t>
    </rPh>
    <rPh sb="42" eb="44">
      <t>シテイ</t>
    </rPh>
    <rPh sb="45" eb="46">
      <t>ウ</t>
    </rPh>
    <phoneticPr fontId="2"/>
  </si>
  <si>
    <t>平成8</t>
    <phoneticPr fontId="2"/>
  </si>
  <si>
    <t>関町環境保全条例スタート</t>
    <rPh sb="0" eb="2">
      <t>セキチョウ</t>
    </rPh>
    <rPh sb="2" eb="4">
      <t>カンキョウ</t>
    </rPh>
    <rPh sb="4" eb="6">
      <t>ホゼン</t>
    </rPh>
    <rPh sb="6" eb="8">
      <t>ジョウレイ</t>
    </rPh>
    <phoneticPr fontId="2"/>
  </si>
  <si>
    <t>文化庁が「歴史の道百選」に東海道・鈴鹿峠越えを選定</t>
    <rPh sb="0" eb="3">
      <t>ブンカチョウ</t>
    </rPh>
    <rPh sb="5" eb="7">
      <t>レキシ</t>
    </rPh>
    <rPh sb="8" eb="9">
      <t>ミチ</t>
    </rPh>
    <rPh sb="9" eb="11">
      <t>ヒャクセン</t>
    </rPh>
    <rPh sb="13" eb="16">
      <t>トウカイドウ</t>
    </rPh>
    <rPh sb="17" eb="19">
      <t>スズカ</t>
    </rPh>
    <rPh sb="19" eb="20">
      <t>トウゲ</t>
    </rPh>
    <rPh sb="20" eb="21">
      <t>コ</t>
    </rPh>
    <rPh sb="23" eb="25">
      <t>センテイ</t>
    </rPh>
    <phoneticPr fontId="2"/>
  </si>
  <si>
    <t>平成9</t>
  </si>
  <si>
    <t>アイヌ文化振興法が出される</t>
    <phoneticPr fontId="2"/>
  </si>
  <si>
    <t>服部四郎</t>
  </si>
  <si>
    <t>館蔵資料データベース</t>
    <rPh sb="0" eb="2">
      <t>カンゾウ</t>
    </rPh>
    <rPh sb="2" eb="4">
      <t>シリョウ</t>
    </rPh>
    <phoneticPr fontId="2"/>
  </si>
  <si>
    <t>秋田新幹線・長野新幹線が開通する</t>
  </si>
  <si>
    <t>関宿旅籠玉屋歴史資料館オープン</t>
    <rPh sb="0" eb="2">
      <t>セキヤド</t>
    </rPh>
    <rPh sb="2" eb="4">
      <t>ハタゴ</t>
    </rPh>
    <rPh sb="4" eb="5">
      <t>タマ</t>
    </rPh>
    <rPh sb="5" eb="6">
      <t>ヤ</t>
    </rPh>
    <rPh sb="6" eb="11">
      <t>レキシシリョウカン</t>
    </rPh>
    <phoneticPr fontId="2"/>
  </si>
  <si>
    <t>関宿旅籠玉屋歴史資料館</t>
  </si>
  <si>
    <t>亀山のいいとこさがし／景色のよいところや歴史を知る手掛かりとなるもの／関宿のまちなみ／関宿の建物のとくちょう</t>
    <rPh sb="43" eb="44">
      <t>セキ</t>
    </rPh>
    <rPh sb="44" eb="45">
      <t>ジュク</t>
    </rPh>
    <rPh sb="46" eb="48">
      <t>タテモノ</t>
    </rPh>
    <phoneticPr fontId="2"/>
  </si>
  <si>
    <t>http://kameyamarekihaku.jp/kodomo/w_e_b/iitoko/tegakari/machinami/page001.html</t>
  </si>
  <si>
    <t>特別養護老人ホーム「華旺寿」オープン</t>
    <rPh sb="0" eb="2">
      <t>トクベツ</t>
    </rPh>
    <rPh sb="2" eb="4">
      <t>ヨウゴ</t>
    </rPh>
    <rPh sb="4" eb="6">
      <t>ロウジン</t>
    </rPh>
    <rPh sb="10" eb="11">
      <t>ハナ</t>
    </rPh>
    <rPh sb="11" eb="12">
      <t>オウ</t>
    </rPh>
    <rPh sb="12" eb="13">
      <t>コトブキ</t>
    </rPh>
    <phoneticPr fontId="2"/>
  </si>
  <si>
    <t>平成10</t>
  </si>
  <si>
    <t>台風7号による強風で被害が出る</t>
    <rPh sb="0" eb="2">
      <t>タイフウ</t>
    </rPh>
    <rPh sb="3" eb="4">
      <t>ゴウ</t>
    </rPh>
    <rPh sb="7" eb="9">
      <t>キョウフウ</t>
    </rPh>
    <rPh sb="10" eb="12">
      <t>ヒガイ</t>
    </rPh>
    <rPh sb="13" eb="14">
      <t>デ</t>
    </rPh>
    <phoneticPr fontId="2"/>
  </si>
  <si>
    <t>冬季オリンピック長野大会が開かれる</t>
  </si>
  <si>
    <t>百六里庭・眺関亭オープン</t>
    <rPh sb="0" eb="1">
      <t>ヒャク</t>
    </rPh>
    <rPh sb="1" eb="3">
      <t>ロクリ</t>
    </rPh>
    <rPh sb="3" eb="4">
      <t>ニワ</t>
    </rPh>
    <rPh sb="5" eb="6">
      <t>ナガ</t>
    </rPh>
    <rPh sb="6" eb="7">
      <t>セキ</t>
    </rPh>
    <rPh sb="7" eb="8">
      <t>テイ</t>
    </rPh>
    <phoneticPr fontId="2"/>
  </si>
  <si>
    <t>百六里庭・眺関亭</t>
  </si>
  <si>
    <t>亀山のいいとこさがし／景色のよいところや歴史を知る手掛かりとなるもの／関宿のまちなみ／中町のまちなみ／百六里庭</t>
    <rPh sb="51" eb="53">
      <t>ヒャクロク</t>
    </rPh>
    <rPh sb="53" eb="54">
      <t>リ</t>
    </rPh>
    <rPh sb="54" eb="55">
      <t>テイ</t>
    </rPh>
    <phoneticPr fontId="2"/>
  </si>
  <si>
    <t>http://kameyamarekihaku.jp/kodomo/w_e_b/iitoko/tegakari/machinami/nakamachi/page003.html</t>
  </si>
  <si>
    <t>「鈴鹿峠自然の家」オープン</t>
    <rPh sb="4" eb="6">
      <t>シゼン</t>
    </rPh>
    <rPh sb="7" eb="8">
      <t>イエ</t>
    </rPh>
    <phoneticPr fontId="2"/>
  </si>
  <si>
    <t>林業総合センター完成</t>
    <rPh sb="0" eb="2">
      <t>リンギョウ</t>
    </rPh>
    <rPh sb="2" eb="4">
      <t>ソウゴウ</t>
    </rPh>
    <rPh sb="8" eb="10">
      <t>カンセイ</t>
    </rPh>
    <phoneticPr fontId="2"/>
  </si>
  <si>
    <t>林業総合センター</t>
  </si>
  <si>
    <t>公共下水道・農業集落排水工事起工（旧関町）</t>
    <rPh sb="0" eb="2">
      <t>コウキョウ</t>
    </rPh>
    <rPh sb="2" eb="5">
      <t>ゲスイドウ</t>
    </rPh>
    <rPh sb="6" eb="8">
      <t>ノウギョウ</t>
    </rPh>
    <rPh sb="8" eb="10">
      <t>シュウラク</t>
    </rPh>
    <rPh sb="10" eb="12">
      <t>ハイスイ</t>
    </rPh>
    <rPh sb="12" eb="14">
      <t>コウジ</t>
    </rPh>
    <rPh sb="14" eb="16">
      <t>キコウ</t>
    </rPh>
    <rPh sb="17" eb="18">
      <t>キュウ</t>
    </rPh>
    <rPh sb="18" eb="20">
      <t>セキチョウ</t>
    </rPh>
    <phoneticPr fontId="2"/>
  </si>
  <si>
    <t>日本の歴史の中の亀山／現代の亀山／行政と政治／し尿処理場</t>
    <phoneticPr fontId="2"/>
  </si>
  <si>
    <t>東海道五十三次シンポジウム・三重歴史街道フェスタ「斎王夢行列」開催</t>
    <rPh sb="0" eb="3">
      <t>トウカイドウ</t>
    </rPh>
    <rPh sb="3" eb="6">
      <t>ゴジュウサン</t>
    </rPh>
    <rPh sb="6" eb="7">
      <t>ツギ</t>
    </rPh>
    <rPh sb="14" eb="16">
      <t>ミエ</t>
    </rPh>
    <rPh sb="16" eb="18">
      <t>レキシ</t>
    </rPh>
    <rPh sb="18" eb="20">
      <t>カイドウ</t>
    </rPh>
    <rPh sb="25" eb="26">
      <t>イツキ</t>
    </rPh>
    <rPh sb="26" eb="27">
      <t>オウ</t>
    </rPh>
    <rPh sb="27" eb="28">
      <t>ユメ</t>
    </rPh>
    <rPh sb="28" eb="30">
      <t>ギョウレツ</t>
    </rPh>
    <rPh sb="31" eb="33">
      <t>カイサイ</t>
    </rPh>
    <phoneticPr fontId="2"/>
  </si>
  <si>
    <t>古典に出てくる亀山／旅／斎王の行列</t>
    <rPh sb="0" eb="2">
      <t>コテン</t>
    </rPh>
    <rPh sb="3" eb="4">
      <t>デ</t>
    </rPh>
    <rPh sb="7" eb="11">
      <t>カメヤマ・タビ</t>
    </rPh>
    <rPh sb="12" eb="14">
      <t>サイオウ</t>
    </rPh>
    <rPh sb="15" eb="17">
      <t>ギョウレツ</t>
    </rPh>
    <phoneticPr fontId="2"/>
  </si>
  <si>
    <t>関地蔵院落慶法要</t>
    <rPh sb="0" eb="1">
      <t>セキ</t>
    </rPh>
    <rPh sb="1" eb="3">
      <t>ジゾウ</t>
    </rPh>
    <rPh sb="3" eb="4">
      <t>イン</t>
    </rPh>
    <rPh sb="4" eb="6">
      <t>ラッケイ</t>
    </rPh>
    <rPh sb="6" eb="8">
      <t>ホウヨウ</t>
    </rPh>
    <phoneticPr fontId="2"/>
  </si>
  <si>
    <t>亀山のいいとこさがし／建物</t>
    <phoneticPr fontId="2"/>
  </si>
  <si>
    <t>平成11</t>
  </si>
  <si>
    <t>遍照寺阿弥陀如来立像が県文化財に指定される</t>
    <rPh sb="0" eb="2">
      <t>ヘンジョウ</t>
    </rPh>
    <rPh sb="2" eb="3">
      <t>デラ</t>
    </rPh>
    <rPh sb="3" eb="6">
      <t>アミダ</t>
    </rPh>
    <rPh sb="6" eb="8">
      <t>ニョライ</t>
    </rPh>
    <rPh sb="8" eb="10">
      <t>リツゾウ</t>
    </rPh>
    <rPh sb="11" eb="12">
      <t>ケン</t>
    </rPh>
    <rPh sb="12" eb="15">
      <t>ブンカザイ</t>
    </rPh>
    <rPh sb="16" eb="18">
      <t>シテイ</t>
    </rPh>
    <phoneticPr fontId="2"/>
  </si>
  <si>
    <t>西町</t>
    <phoneticPr fontId="2"/>
  </si>
  <si>
    <t>亀山のいいとこさがし／仏像</t>
    <phoneticPr fontId="2"/>
  </si>
  <si>
    <t>『亀山市史』通史 原始古代中世</t>
    <phoneticPr fontId="2"/>
  </si>
  <si>
    <t>鈴鹿峠自然の家（旧坂下尋常高等小学校）が国登録有形文化財に登録される</t>
    <rPh sb="0" eb="2">
      <t>スズカ</t>
    </rPh>
    <rPh sb="2" eb="3">
      <t>トウゲ</t>
    </rPh>
    <rPh sb="3" eb="5">
      <t>シゼン</t>
    </rPh>
    <rPh sb="6" eb="7">
      <t>イエ</t>
    </rPh>
    <rPh sb="8" eb="9">
      <t>キュウ</t>
    </rPh>
    <rPh sb="9" eb="11">
      <t>サカシタ</t>
    </rPh>
    <rPh sb="11" eb="13">
      <t>ジンジョウ</t>
    </rPh>
    <rPh sb="13" eb="15">
      <t>コウトウ</t>
    </rPh>
    <rPh sb="15" eb="18">
      <t>ショウガッコウ</t>
    </rPh>
    <rPh sb="20" eb="21">
      <t>クニ</t>
    </rPh>
    <rPh sb="21" eb="23">
      <t>トウロク</t>
    </rPh>
    <rPh sb="23" eb="25">
      <t>ユウケイ</t>
    </rPh>
    <rPh sb="25" eb="28">
      <t>ブンカザイ</t>
    </rPh>
    <rPh sb="29" eb="31">
      <t>トウロク</t>
    </rPh>
    <phoneticPr fontId="2"/>
  </si>
  <si>
    <t>坂下</t>
    <phoneticPr fontId="2"/>
  </si>
  <si>
    <t>まるやま公園完成</t>
    <rPh sb="4" eb="6">
      <t>コウエン</t>
    </rPh>
    <rPh sb="6" eb="8">
      <t>カンセイ</t>
    </rPh>
    <phoneticPr fontId="2"/>
  </si>
  <si>
    <t>まるやま公園</t>
    <rPh sb="4" eb="6">
      <t>コウエン</t>
    </rPh>
    <phoneticPr fontId="2"/>
  </si>
  <si>
    <t>鈴鹿亀山地区広域連合発足</t>
    <rPh sb="0" eb="2">
      <t>スズカ</t>
    </rPh>
    <rPh sb="2" eb="4">
      <t>カメヤマ</t>
    </rPh>
    <rPh sb="4" eb="6">
      <t>チク</t>
    </rPh>
    <rPh sb="6" eb="8">
      <t>コウイキ</t>
    </rPh>
    <rPh sb="8" eb="10">
      <t>レンゴウ</t>
    </rPh>
    <rPh sb="10" eb="12">
      <t>ホッソク</t>
    </rPh>
    <phoneticPr fontId="2"/>
  </si>
  <si>
    <t>今井正郎氏が旧亀山市名誉市民第5号となる</t>
    <rPh sb="0" eb="2">
      <t>イマイ</t>
    </rPh>
    <rPh sb="2" eb="3">
      <t>マサ</t>
    </rPh>
    <rPh sb="3" eb="4">
      <t>ロウ</t>
    </rPh>
    <rPh sb="6" eb="7">
      <t>キュウ</t>
    </rPh>
    <rPh sb="14" eb="15">
      <t>ダイ</t>
    </rPh>
    <rPh sb="16" eb="17">
      <t>ゴウ</t>
    </rPh>
    <phoneticPr fontId="2"/>
  </si>
  <si>
    <t>木崎地区無電柱化工事完成</t>
    <rPh sb="0" eb="1">
      <t>キ</t>
    </rPh>
    <rPh sb="1" eb="2">
      <t>サキ</t>
    </rPh>
    <rPh sb="2" eb="4">
      <t>チク</t>
    </rPh>
    <rPh sb="4" eb="5">
      <t>ム</t>
    </rPh>
    <rPh sb="5" eb="7">
      <t>デンチュウ</t>
    </rPh>
    <rPh sb="7" eb="8">
      <t>カ</t>
    </rPh>
    <rPh sb="8" eb="10">
      <t>コウジ</t>
    </rPh>
    <rPh sb="10" eb="12">
      <t>カンセイ</t>
    </rPh>
    <phoneticPr fontId="2"/>
  </si>
  <si>
    <t>平成12</t>
  </si>
  <si>
    <t>総合環境センター開設</t>
    <phoneticPr fontId="2"/>
  </si>
  <si>
    <t>総合環境センター</t>
    <phoneticPr fontId="2"/>
  </si>
  <si>
    <t>白木一色地区農業集落排水処理施設供用開始</t>
    <rPh sb="0" eb="4">
      <t>シラキイッシキ</t>
    </rPh>
    <rPh sb="4" eb="6">
      <t>チク</t>
    </rPh>
    <rPh sb="6" eb="8">
      <t>ノウギョウ</t>
    </rPh>
    <rPh sb="8" eb="10">
      <t>シュウラク</t>
    </rPh>
    <rPh sb="10" eb="12">
      <t>ハイスイ</t>
    </rPh>
    <rPh sb="12" eb="14">
      <t>ショリ</t>
    </rPh>
    <rPh sb="14" eb="16">
      <t>シセツ</t>
    </rPh>
    <rPh sb="16" eb="18">
      <t>キョウヨウ</t>
    </rPh>
    <rPh sb="18" eb="20">
      <t>カイシ</t>
    </rPh>
    <phoneticPr fontId="2"/>
  </si>
  <si>
    <t>関町白木一色</t>
    <rPh sb="0" eb="2">
      <t>セキチョウ</t>
    </rPh>
    <rPh sb="2" eb="6">
      <t>シラキイッシキ</t>
    </rPh>
    <phoneticPr fontId="2"/>
  </si>
  <si>
    <t>道の駅関宿オープン</t>
    <rPh sb="0" eb="1">
      <t>ミチ</t>
    </rPh>
    <rPh sb="2" eb="3">
      <t>エキ</t>
    </rPh>
    <rPh sb="3" eb="4">
      <t>セキ</t>
    </rPh>
    <rPh sb="4" eb="5">
      <t>ヤド</t>
    </rPh>
    <phoneticPr fontId="2"/>
  </si>
  <si>
    <t>道の駅関宿</t>
  </si>
  <si>
    <t>平成13</t>
  </si>
  <si>
    <t>総合保健福祉センター開設</t>
    <phoneticPr fontId="2"/>
  </si>
  <si>
    <t>総合保健福祉センター</t>
    <phoneticPr fontId="2"/>
  </si>
  <si>
    <t>東海道宿駅400周年を記念して、多門櫓内部改修、姫様道中などの事業が行われる</t>
    <rPh sb="0" eb="3">
      <t>トウカイドウ</t>
    </rPh>
    <rPh sb="3" eb="5">
      <t>シュクエキ</t>
    </rPh>
    <rPh sb="8" eb="10">
      <t>シュウネン</t>
    </rPh>
    <rPh sb="11" eb="13">
      <t>キネン</t>
    </rPh>
    <rPh sb="16" eb="18">
      <t>タモン</t>
    </rPh>
    <rPh sb="18" eb="19">
      <t>ヤグラ</t>
    </rPh>
    <rPh sb="19" eb="21">
      <t>ナイブ</t>
    </rPh>
    <rPh sb="21" eb="23">
      <t>カイシュウ</t>
    </rPh>
    <rPh sb="24" eb="26">
      <t>ヒメサマ</t>
    </rPh>
    <rPh sb="26" eb="28">
      <t>ドウチュウ</t>
    </rPh>
    <rPh sb="31" eb="33">
      <t>ジギョウ</t>
    </rPh>
    <rPh sb="34" eb="35">
      <t>オコナ</t>
    </rPh>
    <phoneticPr fontId="2"/>
  </si>
  <si>
    <t>むかしの道と交通／亀山の近世の道</t>
    <phoneticPr fontId="2"/>
  </si>
  <si>
    <t>亀山のいいとこさがし／建物</t>
    <phoneticPr fontId="2"/>
  </si>
  <si>
    <t>関宿町並み１．８キロメートルの無電柱化完成</t>
    <rPh sb="0" eb="1">
      <t>セキ</t>
    </rPh>
    <rPh sb="1" eb="2">
      <t>ヤド</t>
    </rPh>
    <rPh sb="2" eb="4">
      <t>マチナ</t>
    </rPh>
    <rPh sb="15" eb="16">
      <t>ム</t>
    </rPh>
    <rPh sb="16" eb="18">
      <t>デンチュウ</t>
    </rPh>
    <rPh sb="18" eb="19">
      <t>カ</t>
    </rPh>
    <rPh sb="19" eb="21">
      <t>カンセイ</t>
    </rPh>
    <phoneticPr fontId="2"/>
  </si>
  <si>
    <t>関町木崎・関町中町・関町新所</t>
    <rPh sb="0" eb="2">
      <t>セキチョウ</t>
    </rPh>
    <rPh sb="2" eb="4">
      <t>コザキ</t>
    </rPh>
    <rPh sb="5" eb="7">
      <t>セキチョウ</t>
    </rPh>
    <rPh sb="7" eb="9">
      <t>ナカマチ</t>
    </rPh>
    <rPh sb="10" eb="12">
      <t>セキチョウ</t>
    </rPh>
    <rPh sb="12" eb="14">
      <t>シンジョ</t>
    </rPh>
    <phoneticPr fontId="2"/>
  </si>
  <si>
    <t>亀山城と宿場／４つの宿場／東海道・伊勢街道・大和街道分岐の宿場 関宿</t>
    <rPh sb="0" eb="3">
      <t>カメヤマジョウ</t>
    </rPh>
    <rPh sb="4" eb="7">
      <t>シュクバ・</t>
    </rPh>
    <rPh sb="10" eb="13">
      <t>シュクバ・</t>
    </rPh>
    <rPh sb="13" eb="16">
      <t>トウカイドウ・</t>
    </rPh>
    <rPh sb="17" eb="31">
      <t>ヤマトカイドウブンキノシュクバ</t>
    </rPh>
    <rPh sb="32" eb="33">
      <t>セキ</t>
    </rPh>
    <rPh sb="33" eb="34">
      <t>ジュク</t>
    </rPh>
    <phoneticPr fontId="2"/>
  </si>
  <si>
    <t>加太市場団地分譲開始</t>
    <rPh sb="0" eb="2">
      <t>カブト</t>
    </rPh>
    <rPh sb="2" eb="4">
      <t>イチバ</t>
    </rPh>
    <rPh sb="4" eb="6">
      <t>ダンチ</t>
    </rPh>
    <rPh sb="6" eb="8">
      <t>ブンジョウ</t>
    </rPh>
    <rPh sb="8" eb="10">
      <t>カイシ</t>
    </rPh>
    <phoneticPr fontId="2"/>
  </si>
  <si>
    <t>東海道関宿四百周年事業</t>
    <rPh sb="0" eb="3">
      <t>トウカイドウ</t>
    </rPh>
    <rPh sb="3" eb="4">
      <t>セキ</t>
    </rPh>
    <rPh sb="4" eb="5">
      <t>ヤド</t>
    </rPh>
    <rPh sb="5" eb="9">
      <t>ヨンヒャクシュウネン</t>
    </rPh>
    <rPh sb="9" eb="11">
      <t>ジギョウ</t>
    </rPh>
    <phoneticPr fontId="2"/>
  </si>
  <si>
    <t>亀山城と宿場／４つの宿場／東海道・伊勢街道・大和街道の分岐の宿場関宿</t>
    <rPh sb="0" eb="3">
      <t>カメヤマジョウ</t>
    </rPh>
    <rPh sb="4" eb="7">
      <t>シュクバ・</t>
    </rPh>
    <rPh sb="10" eb="26">
      <t>シュクバ・トウカイドウ・イセカイドウ・ヤマトカイドウ</t>
    </rPh>
    <rPh sb="27" eb="29">
      <t>ブンキ</t>
    </rPh>
    <rPh sb="30" eb="32">
      <t>シュクバ</t>
    </rPh>
    <rPh sb="32" eb="33">
      <t>セキ</t>
    </rPh>
    <rPh sb="33" eb="34">
      <t>シュク</t>
    </rPh>
    <phoneticPr fontId="2"/>
  </si>
  <si>
    <t>平成14</t>
  </si>
  <si>
    <t>日韓サッカーワールドカップが開かれる</t>
  </si>
  <si>
    <t>遍照寺木造観音菩薩坐像・木造勢至菩薩立像が県文化財に指定される</t>
    <phoneticPr fontId="2"/>
  </si>
  <si>
    <t>西町</t>
    <phoneticPr fontId="2"/>
  </si>
  <si>
    <t>勢至菩薩立像
観音菩薩坐像</t>
    <rPh sb="0" eb="1">
      <t>セイ</t>
    </rPh>
    <rPh sb="1" eb="2">
      <t>イタ</t>
    </rPh>
    <rPh sb="2" eb="4">
      <t>ボサツ</t>
    </rPh>
    <rPh sb="4" eb="6">
      <t>リツゾウ</t>
    </rPh>
    <rPh sb="7" eb="9">
      <t>カンノン</t>
    </rPh>
    <rPh sb="9" eb="11">
      <t>ボサツ</t>
    </rPh>
    <rPh sb="11" eb="12">
      <t>ザ</t>
    </rPh>
    <rPh sb="12" eb="13">
      <t>ゾウ</t>
    </rPh>
    <phoneticPr fontId="2"/>
  </si>
  <si>
    <t>『亀山市の文化財（追録）』
『亀山市史』美術工芸編</t>
    <rPh sb="1" eb="4">
      <t>カメヤマシ</t>
    </rPh>
    <rPh sb="5" eb="8">
      <t>ブンカザイ</t>
    </rPh>
    <rPh sb="9" eb="11">
      <t>ツイロク</t>
    </rPh>
    <rPh sb="15" eb="18">
      <t>カメヤマシ</t>
    </rPh>
    <rPh sb="18" eb="19">
      <t>シ</t>
    </rPh>
    <rPh sb="20" eb="22">
      <t>ビジュツ</t>
    </rPh>
    <rPh sb="22" eb="24">
      <t>コウゲイ</t>
    </rPh>
    <rPh sb="24" eb="25">
      <t>ヘン</t>
    </rPh>
    <phoneticPr fontId="2"/>
  </si>
  <si>
    <t>沓掛地区農業集落排水処理施設供用開始</t>
    <rPh sb="0" eb="2">
      <t>クツカケ</t>
    </rPh>
    <rPh sb="2" eb="4">
      <t>チク</t>
    </rPh>
    <rPh sb="4" eb="6">
      <t>ノウギョウ</t>
    </rPh>
    <rPh sb="6" eb="8">
      <t>シュウラク</t>
    </rPh>
    <rPh sb="8" eb="10">
      <t>ハイスイ</t>
    </rPh>
    <rPh sb="10" eb="12">
      <t>ショリ</t>
    </rPh>
    <rPh sb="12" eb="14">
      <t>シセツ</t>
    </rPh>
    <rPh sb="14" eb="16">
      <t>キョウヨウ</t>
    </rPh>
    <rPh sb="16" eb="18">
      <t>カイシ</t>
    </rPh>
    <phoneticPr fontId="2"/>
  </si>
  <si>
    <t>公共下水道供用開始（旧関町）</t>
    <rPh sb="0" eb="2">
      <t>コウキョウ</t>
    </rPh>
    <rPh sb="2" eb="5">
      <t>ゲスイドウ</t>
    </rPh>
    <rPh sb="5" eb="6">
      <t>トモ</t>
    </rPh>
    <rPh sb="6" eb="7">
      <t>ヨウ</t>
    </rPh>
    <rPh sb="7" eb="9">
      <t>カイシ</t>
    </rPh>
    <rPh sb="10" eb="11">
      <t>キュウ</t>
    </rPh>
    <rPh sb="11" eb="13">
      <t>セキチョウ</t>
    </rPh>
    <phoneticPr fontId="2"/>
  </si>
  <si>
    <t>日本の歴史の中の亀山／現代の亀山／行政と政治／下水道</t>
    <rPh sb="17" eb="19">
      <t>ギョウセイ</t>
    </rPh>
    <rPh sb="20" eb="23">
      <t>セイジ・</t>
    </rPh>
    <rPh sb="23" eb="26">
      <t>ゲスイドウ</t>
    </rPh>
    <phoneticPr fontId="2"/>
  </si>
  <si>
    <t>日朝首脳会談が開かれる</t>
  </si>
  <si>
    <t>平成15</t>
    <rPh sb="0" eb="2">
      <t>ヘイセイ</t>
    </rPh>
    <phoneticPr fontId="2"/>
  </si>
  <si>
    <t>関消防署新庁舎完成</t>
    <rPh sb="0" eb="1">
      <t>セキ</t>
    </rPh>
    <rPh sb="1" eb="4">
      <t>ショウボウショ</t>
    </rPh>
    <rPh sb="4" eb="7">
      <t>シンチョウシャ</t>
    </rPh>
    <rPh sb="7" eb="9">
      <t>カンセイ</t>
    </rPh>
    <phoneticPr fontId="2"/>
  </si>
  <si>
    <t>関消防署庁舎</t>
    <rPh sb="0" eb="4">
      <t>セキショウボウショ</t>
    </rPh>
    <rPh sb="4" eb="6">
      <t>チョウシャ</t>
    </rPh>
    <phoneticPr fontId="2"/>
  </si>
  <si>
    <t>亀山市・関町合併協議会発足</t>
    <rPh sb="0" eb="3">
      <t>カメヤマシ</t>
    </rPh>
    <rPh sb="4" eb="6">
      <t>セキチョウ</t>
    </rPh>
    <rPh sb="6" eb="8">
      <t>ガッペイ</t>
    </rPh>
    <rPh sb="8" eb="11">
      <t>キョウギカイ</t>
    </rPh>
    <rPh sb="11" eb="13">
      <t>ホッソク</t>
    </rPh>
    <phoneticPr fontId="2"/>
  </si>
  <si>
    <t>平成16</t>
  </si>
  <si>
    <t>自衛隊をイラクへ派遣する</t>
  </si>
  <si>
    <t>シャープ亀山工場稼働</t>
    <rPh sb="4" eb="8">
      <t>カメヤマコウジョウ</t>
    </rPh>
    <rPh sb="8" eb="10">
      <t>カドウ</t>
    </rPh>
    <phoneticPr fontId="2"/>
  </si>
  <si>
    <t>白木一色</t>
    <rPh sb="0" eb="2">
      <t>シラキ</t>
    </rPh>
    <rPh sb="2" eb="4">
      <t>イッシキ</t>
    </rPh>
    <phoneticPr fontId="2"/>
  </si>
  <si>
    <t>日本の歴史の中の亀山／現代の亀山／産業／工業／液晶</t>
    <rPh sb="23" eb="25">
      <t>エキショウ</t>
    </rPh>
    <phoneticPr fontId="2"/>
  </si>
  <si>
    <t>http://kameyamarekihaku.jp/kodomo/w_e_b/rekishi/gendai/sangyo/kogyo/page002.html</t>
  </si>
  <si>
    <t>平成16</t>
    <rPh sb="0" eb="2">
      <t>ヘイセイ</t>
    </rPh>
    <phoneticPr fontId="2"/>
  </si>
  <si>
    <t>関町乳幼児センターアスレ完成</t>
    <rPh sb="0" eb="2">
      <t>セキチョウ</t>
    </rPh>
    <rPh sb="2" eb="3">
      <t>チチ</t>
    </rPh>
    <rPh sb="3" eb="5">
      <t>ヨウジ</t>
    </rPh>
    <rPh sb="12" eb="14">
      <t>カンセイ</t>
    </rPh>
    <phoneticPr fontId="2"/>
  </si>
  <si>
    <t>関町木崎</t>
    <rPh sb="0" eb="4">
      <t>セキチョウコザキ</t>
    </rPh>
    <phoneticPr fontId="2"/>
  </si>
  <si>
    <t>亀山市関乳幼児センターアスレ</t>
    <rPh sb="0" eb="3">
      <t>カメヤマシ</t>
    </rPh>
    <rPh sb="3" eb="7">
      <t>セキニュウヨウジ</t>
    </rPh>
    <phoneticPr fontId="2"/>
  </si>
  <si>
    <t>鷲山ハイツ分譲始まる</t>
    <rPh sb="0" eb="2">
      <t>ワシヤマ</t>
    </rPh>
    <rPh sb="5" eb="7">
      <t>ブンジョウ</t>
    </rPh>
    <rPh sb="7" eb="8">
      <t>ハジ</t>
    </rPh>
    <phoneticPr fontId="2"/>
  </si>
  <si>
    <t>関町五十周年記念式典</t>
    <rPh sb="0" eb="2">
      <t>セキチョウ</t>
    </rPh>
    <rPh sb="2" eb="3">
      <t>ゴ</t>
    </rPh>
    <rPh sb="3" eb="6">
      <t>ジュウシュウネン</t>
    </rPh>
    <rPh sb="6" eb="8">
      <t>キネン</t>
    </rPh>
    <rPh sb="8" eb="10">
      <t>シキテン</t>
    </rPh>
    <phoneticPr fontId="2"/>
  </si>
  <si>
    <t>平成17</t>
  </si>
  <si>
    <t>愛知県で万国博覧会が開かれる</t>
  </si>
  <si>
    <t>亀山市・関町が合併し、新亀山市誕生</t>
  </si>
  <si>
    <t>日本の歴史の中の亀山／現代の亀山／行政と政治／合併による亀山市、関町の誕生／亀山市まちづくり基本条例</t>
    <rPh sb="38" eb="41">
      <t>カメヤマシ</t>
    </rPh>
    <rPh sb="46" eb="48">
      <t>キホン</t>
    </rPh>
    <rPh sb="48" eb="50">
      <t>ジョウレイ</t>
    </rPh>
    <phoneticPr fontId="2"/>
  </si>
  <si>
    <t>http://kameyamarekihaku.jp/kodomo/w_e_b/rekishi/gendai/gyosei/page001.html</t>
  </si>
  <si>
    <t>『関町五十周年記念誌』</t>
  </si>
  <si>
    <t>平成18</t>
  </si>
  <si>
    <t>鈴鹿関跡の西城壁が発見される</t>
  </si>
  <si>
    <t>日本の歴史の中の亀山／古代の亀山／古代国家のあゆみと亀山／律令国家の成立と亀山／古代の関所／鈴鹿関跡（１）</t>
    <rPh sb="0" eb="17">
      <t>ニホンノレキシノナカノカメヤマ・コダイノカメヤマ・</t>
    </rPh>
    <rPh sb="17" eb="21">
      <t>コダイコッカ</t>
    </rPh>
    <rPh sb="26" eb="28">
      <t>カメヤマ</t>
    </rPh>
    <rPh sb="29" eb="33">
      <t>リツリョウコッカ</t>
    </rPh>
    <rPh sb="34" eb="36">
      <t>セイリツ</t>
    </rPh>
    <rPh sb="37" eb="39">
      <t>カメヤマ</t>
    </rPh>
    <rPh sb="40" eb="42">
      <t>コダイ</t>
    </rPh>
    <rPh sb="43" eb="45">
      <t>セキショ</t>
    </rPh>
    <rPh sb="46" eb="48">
      <t>スズカ</t>
    </rPh>
    <rPh sb="48" eb="49">
      <t>セキ</t>
    </rPh>
    <rPh sb="49" eb="50">
      <t>アト</t>
    </rPh>
    <phoneticPr fontId="2"/>
  </si>
  <si>
    <t>http://kameyamarekihaku.jp/kodomo/w_e_b/rekishi/kodai/kodaikokka/ritsuryo/sekisyo/page002.html</t>
  </si>
  <si>
    <t>『鈴鹿関跡』Ⅰ・Ⅱ
『亀山市史』考古分野</t>
    <rPh sb="1" eb="3">
      <t>スズカ</t>
    </rPh>
    <rPh sb="3" eb="4">
      <t>セキ</t>
    </rPh>
    <rPh sb="4" eb="5">
      <t>アト</t>
    </rPh>
    <rPh sb="10" eb="20">
      <t>カ</t>
    </rPh>
    <phoneticPr fontId="2"/>
  </si>
  <si>
    <t>非核平和都市・交通安全都市・人権尊重都市・暴力追放都市について都市宣言議決</t>
    <rPh sb="0" eb="1">
      <t>ヒ</t>
    </rPh>
    <rPh sb="1" eb="2">
      <t>カク</t>
    </rPh>
    <rPh sb="2" eb="4">
      <t>ヘイワ</t>
    </rPh>
    <rPh sb="4" eb="6">
      <t>トシ</t>
    </rPh>
    <rPh sb="7" eb="9">
      <t>コウツウ</t>
    </rPh>
    <rPh sb="9" eb="11">
      <t>アンゼン</t>
    </rPh>
    <rPh sb="11" eb="13">
      <t>トシ</t>
    </rPh>
    <rPh sb="14" eb="16">
      <t>ジンケン</t>
    </rPh>
    <rPh sb="16" eb="18">
      <t>ソンチョウ</t>
    </rPh>
    <rPh sb="18" eb="20">
      <t>トシ</t>
    </rPh>
    <rPh sb="21" eb="23">
      <t>ボウリョク</t>
    </rPh>
    <rPh sb="23" eb="25">
      <t>ツイホウ</t>
    </rPh>
    <rPh sb="25" eb="27">
      <t>トシ</t>
    </rPh>
    <rPh sb="31" eb="33">
      <t>トシ</t>
    </rPh>
    <rPh sb="33" eb="35">
      <t>センゲン</t>
    </rPh>
    <rPh sb="35" eb="37">
      <t>ギケツ</t>
    </rPh>
    <phoneticPr fontId="2"/>
  </si>
  <si>
    <t>平成19</t>
  </si>
  <si>
    <t>三重県中部地震、亀山城跡石垣崩落</t>
  </si>
  <si>
    <t>亀山城跡</t>
    <phoneticPr fontId="2"/>
  </si>
  <si>
    <t>亀山のむかしばなし／こわいはなし／大地震の話／亀山の大地震</t>
    <phoneticPr fontId="2"/>
  </si>
  <si>
    <t>亀山城と宿場／亀山城のつくり／石垣</t>
  </si>
  <si>
    <t>日本の歴史の中の亀山／現代の亀山／自然災害／地震による災害</t>
    <rPh sb="17" eb="21">
      <t>シゼンサイガイ</t>
    </rPh>
    <rPh sb="22" eb="24">
      <t>ジシン</t>
    </rPh>
    <rPh sb="27" eb="29">
      <t>サイガイ</t>
    </rPh>
    <phoneticPr fontId="2"/>
  </si>
  <si>
    <t>http://kameyamarekihaku.jp/kodomo/w_e_b/rekishi/gendai/saigai/page001.html</t>
  </si>
  <si>
    <t>亀山出身の彫刻家中村晋也、文化勲章を受章</t>
    <rPh sb="5" eb="8">
      <t>チョウコクカ</t>
    </rPh>
    <rPh sb="8" eb="10">
      <t>ナカムラ</t>
    </rPh>
    <rPh sb="10" eb="12">
      <t>シンヤ</t>
    </rPh>
    <phoneticPr fontId="2"/>
  </si>
  <si>
    <t>中村晋也</t>
    <phoneticPr fontId="2"/>
  </si>
  <si>
    <t>平成20</t>
  </si>
  <si>
    <t>アイヌ民族を先住民族とすることを求める国会決議が出される</t>
  </si>
  <si>
    <t>『館蔵資料データベース』</t>
    <rPh sb="1" eb="3">
      <t>カンゾウ</t>
    </rPh>
    <rPh sb="3" eb="5">
      <t>シリョウ</t>
    </rPh>
    <phoneticPr fontId="2"/>
  </si>
  <si>
    <t>市の人口が５００００人突破</t>
    <phoneticPr fontId="2"/>
  </si>
  <si>
    <t>世界金融危機がおこる</t>
  </si>
  <si>
    <t>新名神高速道亀山草津田上間開通</t>
    <phoneticPr fontId="2"/>
  </si>
  <si>
    <t>新名神高速道</t>
    <phoneticPr fontId="2"/>
  </si>
  <si>
    <t>日本の歴史の中の亀山／現代の亀山／交通と通信／道路網の整備</t>
    <phoneticPr fontId="2"/>
  </si>
  <si>
    <t>平成21</t>
  </si>
  <si>
    <t>亀山市歴史的風致維持向上計画が国の事業認定を受ける</t>
  </si>
  <si>
    <t>平成21</t>
    <rPh sb="0" eb="2">
      <t>ヘイセイ</t>
    </rPh>
    <phoneticPr fontId="2"/>
  </si>
  <si>
    <t>白川小学校校舎が国登録有形文化財に登録される</t>
    <rPh sb="0" eb="2">
      <t>シラカワ</t>
    </rPh>
    <rPh sb="2" eb="5">
      <t>ショウガッコウ</t>
    </rPh>
    <rPh sb="5" eb="7">
      <t>コウシャ</t>
    </rPh>
    <phoneticPr fontId="2"/>
  </si>
  <si>
    <t>白木町</t>
    <rPh sb="2" eb="3">
      <t>マチ</t>
    </rPh>
    <phoneticPr fontId="2"/>
  </si>
  <si>
    <t>白川小学校</t>
    <rPh sb="0" eb="2">
      <t>シラカワ</t>
    </rPh>
    <rPh sb="2" eb="5">
      <t>ショウガッコウ</t>
    </rPh>
    <phoneticPr fontId="2"/>
  </si>
  <si>
    <t>学校のあゆみ／白川小学校のれきし</t>
    <phoneticPr fontId="2"/>
  </si>
  <si>
    <t>中村晉也氏が亀山市名誉市民となる</t>
    <phoneticPr fontId="2"/>
  </si>
  <si>
    <t>中村晉也</t>
  </si>
  <si>
    <t>亀山市の名誉市民／新亀山市の名誉市民</t>
    <rPh sb="9" eb="10">
      <t>シン</t>
    </rPh>
    <phoneticPr fontId="2"/>
  </si>
  <si>
    <t>http://kameyamarekihaku.jp/kodomo/w_e_b/meiyo/page002.html</t>
  </si>
  <si>
    <t>平成22</t>
    <rPh sb="0" eb="2">
      <t>ヘイセイ</t>
    </rPh>
    <phoneticPr fontId="2"/>
  </si>
  <si>
    <t>鈴鹿峠自然の家天文台「童夢」完成</t>
    <rPh sb="14" eb="16">
      <t>カンセイ</t>
    </rPh>
    <phoneticPr fontId="2"/>
  </si>
  <si>
    <t>童夢</t>
    <phoneticPr fontId="2"/>
  </si>
  <si>
    <t>WHO健康都市連合に県内の自治体として初めて加盟</t>
    <phoneticPr fontId="2"/>
  </si>
  <si>
    <t>平成23</t>
  </si>
  <si>
    <t>東日本大震災おこる</t>
    <rPh sb="0" eb="1">
      <t>ヒガシ</t>
    </rPh>
    <rPh sb="1" eb="3">
      <t>ニホン</t>
    </rPh>
    <rPh sb="3" eb="6">
      <t>ダイシンサイ</t>
    </rPh>
    <phoneticPr fontId="2"/>
  </si>
  <si>
    <t>九州新幹線開通する</t>
  </si>
  <si>
    <t>ＩＴを利用した亀山市史が完成</t>
  </si>
  <si>
    <t>日本の歴史の中の亀山／現代の亀山／交通と通信／携帯電話やインターネットの普及</t>
    <rPh sb="23" eb="25">
      <t>ケイタイ</t>
    </rPh>
    <rPh sb="25" eb="27">
      <t>デンワ</t>
    </rPh>
    <rPh sb="36" eb="38">
      <t>フキュウ</t>
    </rPh>
    <phoneticPr fontId="2"/>
  </si>
  <si>
    <t>http://kameyamarekihaku.jp/kodomo/w_e_b/rekishi/gendai/koutsu/page007.html</t>
  </si>
  <si>
    <t>森家住宅主屋が国登録有形文化財に登録される</t>
    <rPh sb="0" eb="2">
      <t>モリケ</t>
    </rPh>
    <rPh sb="2" eb="4">
      <t>ジュウタク</t>
    </rPh>
    <rPh sb="4" eb="5">
      <t>シュ</t>
    </rPh>
    <rPh sb="5" eb="6">
      <t>ヤ</t>
    </rPh>
    <rPh sb="7" eb="8">
      <t>クニ</t>
    </rPh>
    <rPh sb="8" eb="10">
      <t>トウロク</t>
    </rPh>
    <rPh sb="10" eb="12">
      <t>ユウケイ</t>
    </rPh>
    <rPh sb="12" eb="15">
      <t>ブンカザイ</t>
    </rPh>
    <rPh sb="16" eb="18">
      <t>トウロク</t>
    </rPh>
    <phoneticPr fontId="2"/>
  </si>
  <si>
    <t>森家住宅</t>
    <rPh sb="0" eb="1">
      <t>モリ</t>
    </rPh>
    <rPh sb="1" eb="2">
      <t>イエ</t>
    </rPh>
    <rPh sb="2" eb="4">
      <t>ジュウタク</t>
    </rPh>
    <phoneticPr fontId="2"/>
  </si>
  <si>
    <t>平成24</t>
  </si>
  <si>
    <t>ＪＲ井田川駅前の整備工事が完成</t>
    <rPh sb="13" eb="15">
      <t>カンセイ</t>
    </rPh>
    <phoneticPr fontId="2"/>
  </si>
  <si>
    <t>ＪＲ井田川駅</t>
  </si>
  <si>
    <t>修理中の多門櫓から出火</t>
    <rPh sb="0" eb="3">
      <t>シュウリチュウ</t>
    </rPh>
    <rPh sb="4" eb="6">
      <t>タモン</t>
    </rPh>
    <rPh sb="6" eb="7">
      <t>ヤグラ</t>
    </rPh>
    <rPh sb="9" eb="11">
      <t>シュッカ</t>
    </rPh>
    <phoneticPr fontId="2"/>
  </si>
  <si>
    <t>多門櫓</t>
    <phoneticPr fontId="2"/>
  </si>
  <si>
    <t>亀山のいいとこさがし／建物</t>
    <phoneticPr fontId="2"/>
  </si>
  <si>
    <t>平成25</t>
  </si>
  <si>
    <t>波多野文書が県文化財に指定される</t>
    <rPh sb="0" eb="3">
      <t>ハタノ</t>
    </rPh>
    <rPh sb="3" eb="5">
      <t>モンジョ</t>
    </rPh>
    <rPh sb="6" eb="7">
      <t>ケン</t>
    </rPh>
    <rPh sb="7" eb="10">
      <t>ブンカザイ</t>
    </rPh>
    <rPh sb="11" eb="13">
      <t>シテイ</t>
    </rPh>
    <phoneticPr fontId="2"/>
  </si>
  <si>
    <t>日本の歴史の中の亀山／中世の亀山／東アジアとのかかわり／南北朝の動乱と亀山／波多野文書</t>
    <rPh sb="38" eb="43">
      <t>ハタノモンジョ</t>
    </rPh>
    <phoneticPr fontId="2"/>
  </si>
  <si>
    <t>http://kameyamarekihaku.jp/kodomo/w_e_b/rekishi/chusei/kakawari/nanbokucho/page001.html</t>
  </si>
  <si>
    <t>『歴史ひろば』</t>
    <phoneticPr fontId="2"/>
  </si>
  <si>
    <t>亀山のいいとこさがし／手紙や本／手紙や記録など／波多野文書</t>
    <phoneticPr fontId="2"/>
  </si>
  <si>
    <t>多門櫓平成大修理が完成</t>
    <rPh sb="0" eb="2">
      <t>タモン</t>
    </rPh>
    <rPh sb="2" eb="3">
      <t>ヤグラ</t>
    </rPh>
    <rPh sb="3" eb="5">
      <t>ヘイセイ</t>
    </rPh>
    <rPh sb="5" eb="8">
      <t>ダイシュウリ</t>
    </rPh>
    <rPh sb="9" eb="11">
      <t>カンセイ</t>
    </rPh>
    <phoneticPr fontId="2"/>
  </si>
  <si>
    <t>多門櫓</t>
    <phoneticPr fontId="2"/>
  </si>
  <si>
    <t>写真など</t>
    <rPh sb="0" eb="2">
      <t>シャシン</t>
    </rPh>
    <phoneticPr fontId="2"/>
  </si>
  <si>
    <t>亀山城と宿場／亀山城のつくり／櫓／多門櫓</t>
    <phoneticPr fontId="2"/>
  </si>
  <si>
    <t>亀山のいいとこさがし／建物</t>
    <phoneticPr fontId="2"/>
  </si>
  <si>
    <t>東京書籍「新しい社会　歴史」　、日本文教出版「小学校の社会　６上　日本の歩み」より</t>
  </si>
  <si>
    <t>表中の※は、</t>
  </si>
  <si>
    <t>東町・西町・野村・野村町・布気町・住山町・羽若町・亀田町・椿世町・菅内町・阿野田町・井田川町・田村町・長明寺町・川崎町・太森町・辺法寺町・両尾町・安坂山町・関町新所・関町木崎・小野町・関町小野・会下町・白木町・関町白木一色・小川町・太岡寺町・山下町・木下町・関町市瀬・関町沓掛・川合町・和田町・井尻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</si>
</sst>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2"/>
      <name val="ＭＳ Ｐゴシック"/>
      <family val="3"/>
      <charset val="128"/>
    </font>
    <font>
      <sz val="11"/>
      <color rgb="FF00B050"/>
      <name val="ＭＳ Ｐゴシック"/>
      <family val="3"/>
      <charset val="128"/>
    </font>
    <font>
      <sz val="11"/>
      <color theme="1"/>
      <name val="ＭＳ Ｐゴシック"/>
      <family val="3"/>
      <charset val="128"/>
    </font>
    <font>
      <sz val="10"/>
      <name val="ＭＳ Ｐゴシック"/>
      <family val="3"/>
      <charset val="128"/>
    </font>
    <font>
      <sz val="10"/>
      <color rgb="FF00B050"/>
      <name val="ＭＳ Ｐゴシック"/>
      <family val="3"/>
      <charset val="128"/>
    </font>
    <font>
      <sz val="10"/>
      <color theme="1"/>
      <name val="ＭＳ Ｐゴシック"/>
      <family val="3"/>
      <charset val="128"/>
    </font>
    <font>
      <sz val="10"/>
      <color indexed="12"/>
      <name val="ＭＳ Ｐゴシック"/>
      <family val="3"/>
      <charset val="128"/>
    </font>
    <font>
      <sz val="10.5"/>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rgb="FFFFCCCC"/>
        <bgColor indexed="64"/>
      </patternFill>
    </fill>
    <fill>
      <patternFill patternType="solid">
        <fgColor theme="4" tint="0.599963377788628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4" fillId="0" borderId="0" applyNumberFormat="0" applyFont="0" applyFill="0" applyBorder="0" applyAlignment="0" applyProtection="0">
      <alignment vertical="top"/>
      <protection locked="0"/>
    </xf>
  </cellStyleXfs>
  <cellXfs count="386">
    <xf numFmtId="0" fontId="0" fillId="0" borderId="0" xfId="0">
      <alignment vertical="center"/>
    </xf>
    <xf numFmtId="0" fontId="0" fillId="0" borderId="0" xfId="0" applyAlignment="1">
      <alignment horizontal="center" vertical="center" wrapText="1"/>
    </xf>
    <xf numFmtId="0" fontId="3" fillId="0" borderId="4" xfId="0" applyFont="1" applyFill="1" applyBorder="1" applyAlignment="1">
      <alignment vertical="top" wrapText="1"/>
    </xf>
    <xf numFmtId="0" fontId="4" fillId="0" borderId="4" xfId="1" applyBorder="1" applyAlignment="1" applyProtection="1">
      <alignment horizontal="left" vertical="top" wrapText="1"/>
    </xf>
    <xf numFmtId="0" fontId="4" fillId="0" borderId="4" xfId="1" applyFill="1" applyBorder="1" applyAlignment="1" applyProtection="1">
      <alignment horizontal="left" vertical="top" wrapText="1"/>
    </xf>
    <xf numFmtId="0" fontId="4" fillId="0" borderId="4" xfId="1" applyFont="1" applyBorder="1" applyAlignment="1" applyProtection="1">
      <alignment horizontal="left" vertical="top" wrapText="1"/>
    </xf>
    <xf numFmtId="0" fontId="0" fillId="0" borderId="0" xfId="0" applyFill="1" applyAlignment="1">
      <alignment vertical="top" wrapText="1"/>
    </xf>
    <xf numFmtId="0" fontId="3" fillId="0" borderId="6" xfId="0" applyFont="1" applyFill="1" applyBorder="1" applyAlignment="1">
      <alignment vertical="top" wrapText="1"/>
    </xf>
    <xf numFmtId="0" fontId="4" fillId="0" borderId="0" xfId="1" applyAlignment="1" applyProtection="1">
      <alignment horizontal="left" vertical="top" wrapText="1"/>
    </xf>
    <xf numFmtId="0" fontId="3" fillId="0" borderId="6" xfId="0" applyFont="1" applyFill="1" applyBorder="1" applyAlignment="1">
      <alignment horizontal="left" vertical="top" wrapText="1"/>
    </xf>
    <xf numFmtId="0" fontId="4" fillId="0" borderId="6" xfId="1" applyBorder="1" applyAlignment="1" applyProtection="1">
      <alignment horizontal="left" vertical="top" wrapText="1"/>
    </xf>
    <xf numFmtId="0" fontId="3" fillId="0" borderId="8" xfId="0" applyFont="1" applyFill="1" applyBorder="1" applyAlignment="1">
      <alignment vertical="top" wrapText="1"/>
    </xf>
    <xf numFmtId="0" fontId="1" fillId="0" borderId="9" xfId="0" applyFont="1" applyFill="1" applyBorder="1" applyAlignment="1">
      <alignment horizontal="left" vertical="top" wrapText="1"/>
    </xf>
    <xf numFmtId="0" fontId="5"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vertical="top" wrapText="1"/>
    </xf>
    <xf numFmtId="0" fontId="4" fillId="0" borderId="11" xfId="1" applyFill="1" applyBorder="1" applyAlignment="1" applyProtection="1">
      <alignment vertical="top" wrapText="1"/>
    </xf>
    <xf numFmtId="0" fontId="4" fillId="0" borderId="11" xfId="1" applyBorder="1" applyAlignment="1" applyProtection="1">
      <alignment horizontal="left" vertical="top" wrapText="1"/>
    </xf>
    <xf numFmtId="0" fontId="4" fillId="0" borderId="6" xfId="1" applyFill="1" applyBorder="1" applyAlignment="1" applyProtection="1">
      <alignment vertical="top" wrapText="1"/>
    </xf>
    <xf numFmtId="0" fontId="1" fillId="0" borderId="13" xfId="1" applyFont="1" applyFill="1" applyBorder="1" applyAlignment="1" applyProtection="1">
      <alignment horizontal="left" vertical="top" wrapText="1"/>
    </xf>
    <xf numFmtId="0" fontId="5" fillId="0" borderId="13" xfId="1" applyFont="1" applyFill="1" applyBorder="1" applyAlignment="1" applyProtection="1">
      <alignment horizontal="left" vertical="top" wrapText="1"/>
    </xf>
    <xf numFmtId="0" fontId="4" fillId="0" borderId="14" xfId="1" applyBorder="1" applyAlignment="1" applyProtection="1">
      <alignment horizontal="left" vertical="top" wrapText="1"/>
    </xf>
    <xf numFmtId="0" fontId="4" fillId="0" borderId="8" xfId="1" applyFill="1" applyBorder="1" applyAlignment="1" applyProtection="1">
      <alignment vertical="top" wrapText="1"/>
    </xf>
    <xf numFmtId="0" fontId="1" fillId="0" borderId="9" xfId="1" applyFont="1" applyFill="1" applyBorder="1" applyAlignment="1" applyProtection="1">
      <alignment horizontal="left" vertical="top" wrapText="1"/>
    </xf>
    <xf numFmtId="0" fontId="5" fillId="0" borderId="9" xfId="1" applyFont="1" applyFill="1" applyBorder="1" applyAlignment="1" applyProtection="1">
      <alignment horizontal="left" vertical="top" wrapText="1"/>
    </xf>
    <xf numFmtId="0" fontId="4" fillId="0" borderId="8" xfId="1" applyBorder="1" applyAlignment="1" applyProtection="1">
      <alignment horizontal="left" vertical="top" wrapText="1"/>
    </xf>
    <xf numFmtId="0" fontId="3" fillId="0" borderId="14" xfId="0" applyFont="1" applyFill="1" applyBorder="1" applyAlignment="1">
      <alignment vertical="top" wrapText="1"/>
    </xf>
    <xf numFmtId="0" fontId="4" fillId="0" borderId="14" xfId="1" applyFill="1" applyBorder="1" applyAlignment="1" applyProtection="1">
      <alignment vertical="top" wrapText="1"/>
    </xf>
    <xf numFmtId="0" fontId="6" fillId="2" borderId="14" xfId="1" applyFont="1" applyFill="1" applyBorder="1" applyAlignment="1" applyProtection="1">
      <alignment horizontal="left" vertical="top" wrapText="1"/>
    </xf>
    <xf numFmtId="0" fontId="1" fillId="0" borderId="7" xfId="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6" fillId="2" borderId="6" xfId="1" applyFont="1" applyFill="1" applyBorder="1" applyAlignment="1" applyProtection="1">
      <alignment horizontal="left" vertical="top" wrapText="1"/>
    </xf>
    <xf numFmtId="0" fontId="1" fillId="0" borderId="12" xfId="1" applyFont="1" applyFill="1" applyBorder="1" applyAlignment="1" applyProtection="1">
      <alignment horizontal="left" vertical="top" wrapText="1"/>
    </xf>
    <xf numFmtId="0" fontId="5" fillId="0" borderId="12" xfId="1" applyFont="1" applyFill="1" applyBorder="1" applyAlignment="1" applyProtection="1">
      <alignment horizontal="left" vertical="top" wrapText="1"/>
    </xf>
    <xf numFmtId="0" fontId="1"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11" xfId="1" applyFont="1" applyFill="1" applyBorder="1" applyAlignment="1" applyProtection="1">
      <alignment vertical="top" wrapText="1"/>
    </xf>
    <xf numFmtId="0" fontId="6" fillId="2" borderId="11" xfId="1" applyFont="1" applyFill="1" applyBorder="1" applyAlignment="1" applyProtection="1">
      <alignment horizontal="left" vertical="top" wrapText="1"/>
    </xf>
    <xf numFmtId="0" fontId="7" fillId="0" borderId="14" xfId="1" applyFont="1" applyFill="1" applyBorder="1" applyAlignment="1" applyProtection="1">
      <alignment vertical="top" wrapText="1"/>
    </xf>
    <xf numFmtId="0" fontId="4" fillId="0" borderId="14" xfId="1" applyFill="1" applyBorder="1" applyAlignment="1" applyProtection="1">
      <alignment vertical="center" wrapText="1"/>
    </xf>
    <xf numFmtId="0" fontId="1" fillId="0" borderId="14" xfId="1" applyFont="1" applyFill="1" applyBorder="1" applyAlignment="1" applyProtection="1">
      <alignment vertical="top" wrapText="1"/>
    </xf>
    <xf numFmtId="0" fontId="1" fillId="0" borderId="13" xfId="1" applyFont="1" applyFill="1" applyBorder="1" applyAlignment="1" applyProtection="1">
      <alignment vertical="top" wrapText="1"/>
    </xf>
    <xf numFmtId="0" fontId="3" fillId="0" borderId="14" xfId="0" applyFont="1" applyFill="1" applyBorder="1" applyAlignment="1">
      <alignment horizontal="left" vertical="top" wrapText="1"/>
    </xf>
    <xf numFmtId="0" fontId="1" fillId="0" borderId="14" xfId="1" applyFont="1" applyFill="1" applyBorder="1" applyAlignment="1" applyProtection="1">
      <alignment horizontal="left" vertical="center" wrapText="1"/>
    </xf>
    <xf numFmtId="0" fontId="1" fillId="3" borderId="6" xfId="1" applyFont="1" applyFill="1" applyBorder="1" applyAlignment="1" applyProtection="1">
      <alignment horizontal="left" vertical="center" wrapText="1"/>
    </xf>
    <xf numFmtId="0" fontId="4" fillId="0" borderId="6" xfId="1" applyFill="1" applyBorder="1" applyAlignment="1" applyProtection="1">
      <alignment horizontal="left" vertical="top" wrapText="1"/>
    </xf>
    <xf numFmtId="0" fontId="4" fillId="0" borderId="8" xfId="1" applyFill="1" applyBorder="1" applyAlignment="1" applyProtection="1">
      <alignment horizontal="left" vertical="top" wrapText="1"/>
    </xf>
    <xf numFmtId="0" fontId="4" fillId="0" borderId="11" xfId="1" applyFill="1" applyBorder="1" applyAlignment="1" applyProtection="1">
      <alignment horizontal="left" vertical="top" wrapText="1"/>
    </xf>
    <xf numFmtId="0" fontId="4" fillId="0" borderId="14" xfId="1" applyFill="1" applyBorder="1" applyAlignment="1" applyProtection="1">
      <alignment horizontal="left" vertical="top" wrapText="1"/>
    </xf>
    <xf numFmtId="0" fontId="6" fillId="2" borderId="14" xfId="1" applyFont="1" applyFill="1" applyBorder="1" applyAlignment="1" applyProtection="1">
      <alignment vertical="top" wrapText="1"/>
    </xf>
    <xf numFmtId="0" fontId="1" fillId="3" borderId="6" xfId="1" applyFont="1" applyFill="1" applyBorder="1" applyAlignment="1" applyProtection="1">
      <alignment vertical="center" wrapText="1"/>
    </xf>
    <xf numFmtId="0" fontId="6" fillId="2" borderId="6" xfId="1" applyFont="1" applyFill="1" applyBorder="1" applyAlignment="1" applyProtection="1">
      <alignment vertical="top" wrapText="1"/>
    </xf>
    <xf numFmtId="0" fontId="1" fillId="0" borderId="7" xfId="1" applyFont="1" applyFill="1" applyBorder="1" applyAlignment="1" applyProtection="1">
      <alignment vertical="top" wrapText="1"/>
    </xf>
    <xf numFmtId="0" fontId="0" fillId="0" borderId="11" xfId="0" applyBorder="1" applyAlignment="1">
      <alignment vertical="top"/>
    </xf>
    <xf numFmtId="0" fontId="0" fillId="0" borderId="14" xfId="0" applyBorder="1" applyAlignment="1">
      <alignment vertical="top"/>
    </xf>
    <xf numFmtId="0" fontId="0" fillId="0" borderId="14" xfId="0" applyBorder="1" applyAlignment="1">
      <alignment vertical="center"/>
    </xf>
    <xf numFmtId="0" fontId="0" fillId="0" borderId="6" xfId="0" applyBorder="1" applyAlignment="1">
      <alignment vertical="center"/>
    </xf>
    <xf numFmtId="0" fontId="0" fillId="0" borderId="15" xfId="0" applyFill="1" applyBorder="1" applyAlignment="1">
      <alignment vertical="top" wrapText="1"/>
    </xf>
    <xf numFmtId="0" fontId="3" fillId="0" borderId="14"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horizontal="left" vertical="top" wrapText="1"/>
    </xf>
    <xf numFmtId="0" fontId="4" fillId="0" borderId="0" xfId="1" applyFill="1" applyBorder="1" applyAlignment="1" applyProtection="1">
      <alignment vertical="top" wrapText="1"/>
    </xf>
    <xf numFmtId="0" fontId="3" fillId="0" borderId="6" xfId="0" applyFont="1" applyBorder="1" applyAlignment="1">
      <alignment horizontal="left" vertical="top" wrapText="1"/>
    </xf>
    <xf numFmtId="0" fontId="4" fillId="0" borderId="0" xfId="1" applyAlignment="1" applyProtection="1">
      <alignment vertical="top"/>
    </xf>
    <xf numFmtId="0" fontId="0" fillId="0" borderId="0" xfId="0" applyFill="1" applyBorder="1" applyAlignment="1">
      <alignment vertical="top" wrapText="1"/>
    </xf>
    <xf numFmtId="0" fontId="6" fillId="0" borderId="14" xfId="1" applyFont="1" applyFill="1" applyBorder="1" applyAlignment="1" applyProtection="1">
      <alignment horizontal="left" vertical="top" wrapText="1"/>
    </xf>
    <xf numFmtId="0" fontId="6" fillId="0" borderId="6" xfId="1" applyFont="1" applyFill="1" applyBorder="1" applyAlignment="1" applyProtection="1">
      <alignment horizontal="left" vertical="top" wrapText="1"/>
    </xf>
    <xf numFmtId="0" fontId="3" fillId="0" borderId="14" xfId="0" applyFont="1" applyBorder="1" applyAlignment="1">
      <alignment horizontal="left" vertical="top" wrapText="1"/>
    </xf>
    <xf numFmtId="0" fontId="4" fillId="0" borderId="11" xfId="1" applyBorder="1" applyAlignment="1" applyProtection="1">
      <alignment vertical="top" wrapText="1"/>
    </xf>
    <xf numFmtId="0" fontId="7" fillId="0" borderId="6" xfId="1" applyFont="1" applyFill="1" applyBorder="1" applyAlignment="1" applyProtection="1">
      <alignment vertical="top" wrapText="1"/>
    </xf>
    <xf numFmtId="0" fontId="4" fillId="0" borderId="11" xfId="1" applyBorder="1" applyAlignment="1" applyProtection="1">
      <alignment vertical="top"/>
    </xf>
    <xf numFmtId="0" fontId="1" fillId="0" borderId="12" xfId="1" applyFont="1" applyFill="1" applyBorder="1" applyAlignment="1" applyProtection="1">
      <alignment vertical="top" wrapText="1"/>
    </xf>
    <xf numFmtId="0" fontId="4" fillId="0" borderId="0" xfId="1" applyAlignment="1" applyProtection="1">
      <alignment vertical="top" wrapText="1"/>
    </xf>
    <xf numFmtId="0" fontId="4" fillId="0" borderId="14" xfId="1" applyBorder="1" applyAlignment="1" applyProtection="1">
      <alignment vertical="top" wrapText="1"/>
    </xf>
    <xf numFmtId="0" fontId="7" fillId="0" borderId="14" xfId="1" applyFont="1" applyBorder="1" applyAlignment="1" applyProtection="1">
      <alignment horizontal="left" vertical="top" wrapText="1"/>
    </xf>
    <xf numFmtId="0" fontId="4" fillId="0" borderId="0" xfId="1" applyBorder="1" applyAlignment="1" applyProtection="1">
      <alignment vertical="top" wrapText="1"/>
    </xf>
    <xf numFmtId="0" fontId="0" fillId="0" borderId="14" xfId="0" applyBorder="1" applyAlignment="1">
      <alignment horizontal="left" vertical="top" wrapText="1"/>
    </xf>
    <xf numFmtId="0" fontId="1"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4" fillId="0" borderId="8" xfId="1" applyBorder="1" applyAlignment="1" applyProtection="1">
      <alignment vertical="top" wrapText="1"/>
    </xf>
    <xf numFmtId="0" fontId="3" fillId="0" borderId="11" xfId="0" applyFont="1" applyBorder="1" applyAlignment="1">
      <alignment horizontal="left" vertical="top" wrapText="1"/>
    </xf>
    <xf numFmtId="0" fontId="1"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1"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11" xfId="0" applyFill="1" applyBorder="1" applyAlignment="1">
      <alignment vertical="top" wrapText="1"/>
    </xf>
    <xf numFmtId="0" fontId="3" fillId="0" borderId="12" xfId="0" applyFont="1" applyFill="1" applyBorder="1" applyAlignment="1">
      <alignment vertical="top" wrapText="1"/>
    </xf>
    <xf numFmtId="0" fontId="0" fillId="0" borderId="14" xfId="0" applyFill="1" applyBorder="1" applyAlignment="1">
      <alignment vertical="top" wrapText="1"/>
    </xf>
    <xf numFmtId="0" fontId="0" fillId="0" borderId="6" xfId="0" applyFill="1" applyBorder="1" applyAlignment="1">
      <alignment vertical="top" wrapText="1"/>
    </xf>
    <xf numFmtId="0" fontId="1" fillId="3" borderId="11" xfId="1" applyFont="1" applyFill="1" applyBorder="1" applyAlignment="1" applyProtection="1">
      <alignment vertical="top" wrapText="1"/>
    </xf>
    <xf numFmtId="0" fontId="7" fillId="0" borderId="12" xfId="1" applyFont="1" applyFill="1" applyBorder="1" applyAlignment="1" applyProtection="1">
      <alignment vertical="top" wrapText="1"/>
    </xf>
    <xf numFmtId="0" fontId="7" fillId="0" borderId="12" xfId="1" applyFont="1" applyFill="1" applyBorder="1" applyAlignment="1" applyProtection="1">
      <alignment horizontal="left" vertical="top" wrapText="1"/>
    </xf>
    <xf numFmtId="0" fontId="8" fillId="0" borderId="12" xfId="1" applyFont="1" applyFill="1" applyBorder="1" applyAlignment="1" applyProtection="1">
      <alignment horizontal="left" vertical="top" wrapText="1"/>
    </xf>
    <xf numFmtId="0" fontId="6" fillId="3" borderId="14" xfId="1" applyFont="1" applyFill="1" applyBorder="1" applyAlignment="1" applyProtection="1">
      <alignment vertical="top" wrapText="1"/>
    </xf>
    <xf numFmtId="0" fontId="7" fillId="0" borderId="13" xfId="1" applyFont="1" applyFill="1" applyBorder="1" applyAlignment="1" applyProtection="1">
      <alignment vertical="top" wrapText="1"/>
    </xf>
    <xf numFmtId="0" fontId="7" fillId="0" borderId="13" xfId="1" applyFont="1" applyFill="1" applyBorder="1" applyAlignment="1" applyProtection="1">
      <alignment horizontal="left" vertical="top" wrapText="1"/>
    </xf>
    <xf numFmtId="0" fontId="8" fillId="0" borderId="13" xfId="1" applyFont="1" applyFill="1" applyBorder="1" applyAlignment="1" applyProtection="1">
      <alignment horizontal="left" vertical="top" wrapText="1"/>
    </xf>
    <xf numFmtId="0" fontId="9" fillId="0" borderId="14" xfId="1" applyFont="1" applyFill="1" applyBorder="1" applyAlignment="1" applyProtection="1">
      <alignment vertical="top" wrapText="1"/>
    </xf>
    <xf numFmtId="0" fontId="6" fillId="0" borderId="14" xfId="1" applyFont="1" applyFill="1" applyBorder="1" applyAlignment="1" applyProtection="1">
      <alignment vertical="top" wrapText="1"/>
    </xf>
    <xf numFmtId="0" fontId="4" fillId="0" borderId="6" xfId="1" applyBorder="1" applyAlignment="1" applyProtection="1">
      <alignment vertical="top" wrapText="1"/>
    </xf>
    <xf numFmtId="0" fontId="1" fillId="0" borderId="12" xfId="1" applyFont="1" applyBorder="1" applyAlignment="1" applyProtection="1">
      <alignment horizontal="left" vertical="top" wrapText="1"/>
    </xf>
    <xf numFmtId="0" fontId="5" fillId="0" borderId="12" xfId="1" applyFont="1" applyBorder="1" applyAlignment="1" applyProtection="1">
      <alignment horizontal="left" vertical="top" wrapText="1"/>
    </xf>
    <xf numFmtId="0" fontId="1" fillId="0" borderId="13" xfId="1" applyFont="1" applyBorder="1" applyAlignment="1" applyProtection="1">
      <alignment horizontal="left" vertical="top" wrapText="1"/>
    </xf>
    <xf numFmtId="0" fontId="5" fillId="0" borderId="13" xfId="1" applyFont="1" applyBorder="1" applyAlignment="1" applyProtection="1">
      <alignment horizontal="left" vertical="top" wrapText="1"/>
    </xf>
    <xf numFmtId="0" fontId="1" fillId="0" borderId="6" xfId="1" applyFont="1" applyFill="1" applyBorder="1" applyAlignment="1" applyProtection="1">
      <alignment vertical="top" wrapText="1"/>
    </xf>
    <xf numFmtId="0" fontId="1" fillId="0" borderId="7" xfId="1" applyFont="1" applyBorder="1" applyAlignment="1" applyProtection="1">
      <alignment horizontal="left" vertical="top" wrapText="1"/>
    </xf>
    <xf numFmtId="0" fontId="5" fillId="0" borderId="7" xfId="1" applyFont="1" applyBorder="1" applyAlignment="1" applyProtection="1">
      <alignment horizontal="left" vertical="top" wrapText="1"/>
    </xf>
    <xf numFmtId="0" fontId="6" fillId="3" borderId="6" xfId="1" applyFont="1" applyFill="1" applyBorder="1" applyAlignment="1" applyProtection="1">
      <alignment vertical="center" wrapText="1"/>
    </xf>
    <xf numFmtId="0" fontId="1" fillId="0" borderId="12" xfId="0" applyFont="1" applyFill="1" applyBorder="1" applyAlignment="1">
      <alignment vertical="top" wrapText="1"/>
    </xf>
    <xf numFmtId="0" fontId="1" fillId="0" borderId="8" xfId="1" applyFont="1" applyBorder="1" applyAlignment="1" applyProtection="1">
      <alignment vertical="top" wrapText="1"/>
    </xf>
    <xf numFmtId="0" fontId="0" fillId="0" borderId="16" xfId="0" applyFill="1" applyBorder="1" applyAlignment="1">
      <alignment vertical="top" wrapText="1"/>
    </xf>
    <xf numFmtId="0" fontId="0" fillId="0" borderId="7" xfId="0" applyFill="1" applyBorder="1" applyAlignment="1">
      <alignment vertical="top" wrapText="1"/>
    </xf>
    <xf numFmtId="0" fontId="1" fillId="0" borderId="14" xfId="1" applyFont="1" applyBorder="1" applyAlignment="1" applyProtection="1">
      <alignment vertical="top" wrapText="1"/>
    </xf>
    <xf numFmtId="0" fontId="7" fillId="0" borderId="6" xfId="1" applyFont="1" applyFill="1" applyBorder="1" applyAlignment="1" applyProtection="1">
      <alignment vertical="center" wrapText="1"/>
    </xf>
    <xf numFmtId="0" fontId="1" fillId="0" borderId="11" xfId="1" applyFont="1" applyBorder="1" applyAlignment="1" applyProtection="1">
      <alignment vertical="top" wrapText="1"/>
    </xf>
    <xf numFmtId="0" fontId="1" fillId="0" borderId="6" xfId="1" applyFont="1" applyBorder="1" applyAlignment="1" applyProtection="1">
      <alignment vertical="top" wrapText="1"/>
    </xf>
    <xf numFmtId="0" fontId="1" fillId="0" borderId="9" xfId="0" applyFont="1" applyFill="1" applyBorder="1" applyAlignment="1">
      <alignment vertical="top" wrapText="1"/>
    </xf>
    <xf numFmtId="0" fontId="0" fillId="0" borderId="8" xfId="0" applyFill="1" applyBorder="1" applyAlignment="1">
      <alignment vertical="top" wrapText="1"/>
    </xf>
    <xf numFmtId="0" fontId="1" fillId="3" borderId="11" xfId="1" applyFont="1" applyFill="1" applyBorder="1" applyAlignment="1" applyProtection="1">
      <alignment vertical="center" wrapText="1"/>
    </xf>
    <xf numFmtId="0" fontId="1" fillId="0" borderId="14" xfId="1" applyFont="1" applyFill="1" applyBorder="1" applyAlignment="1" applyProtection="1">
      <alignment vertical="center" wrapText="1"/>
    </xf>
    <xf numFmtId="0" fontId="1" fillId="0" borderId="6" xfId="1" applyFont="1" applyFill="1" applyBorder="1" applyAlignment="1" applyProtection="1">
      <alignment vertical="center" wrapText="1"/>
    </xf>
    <xf numFmtId="0" fontId="5" fillId="0" borderId="11" xfId="0" applyFont="1" applyFill="1" applyBorder="1" applyAlignment="1">
      <alignment horizontal="left" vertical="top" wrapText="1"/>
    </xf>
    <xf numFmtId="0" fontId="1" fillId="0" borderId="7" xfId="0" applyFont="1" applyFill="1" applyBorder="1" applyAlignment="1">
      <alignment vertical="top" wrapText="1"/>
    </xf>
    <xf numFmtId="0" fontId="5" fillId="0" borderId="6" xfId="0" applyFont="1" applyFill="1" applyBorder="1" applyAlignment="1">
      <alignment horizontal="left" vertical="top" wrapText="1"/>
    </xf>
    <xf numFmtId="0" fontId="1" fillId="3" borderId="14" xfId="1" applyFont="1" applyFill="1" applyBorder="1" applyAlignment="1" applyProtection="1">
      <alignment vertical="center" wrapText="1"/>
    </xf>
    <xf numFmtId="0" fontId="1" fillId="0" borderId="7" xfId="1" applyFont="1" applyFill="1" applyBorder="1" applyAlignment="1" applyProtection="1">
      <alignment vertical="center" wrapText="1"/>
    </xf>
    <xf numFmtId="0" fontId="1" fillId="0" borderId="7"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1" fillId="3" borderId="14" xfId="1" applyFont="1" applyFill="1" applyBorder="1" applyAlignment="1" applyProtection="1">
      <alignment vertical="top" wrapText="1"/>
    </xf>
    <xf numFmtId="0" fontId="6" fillId="0" borderId="14"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2" borderId="11" xfId="1" applyFont="1" applyFill="1" applyBorder="1" applyAlignment="1" applyProtection="1">
      <alignment vertical="center" wrapText="1"/>
    </xf>
    <xf numFmtId="0" fontId="1" fillId="0" borderId="8" xfId="1" applyFont="1" applyFill="1" applyBorder="1" applyAlignment="1" applyProtection="1">
      <alignment vertical="top" wrapText="1"/>
    </xf>
    <xf numFmtId="0" fontId="0" fillId="0" borderId="14" xfId="0" applyBorder="1" applyAlignment="1">
      <alignment vertical="top" wrapText="1"/>
    </xf>
    <xf numFmtId="0" fontId="1" fillId="0" borderId="14" xfId="0" applyFont="1" applyBorder="1" applyAlignment="1">
      <alignment vertical="top" wrapText="1"/>
    </xf>
    <xf numFmtId="0" fontId="1" fillId="0" borderId="14" xfId="0" applyFont="1" applyBorder="1" applyAlignment="1">
      <alignment horizontal="center" vertical="top" wrapText="1"/>
    </xf>
    <xf numFmtId="0" fontId="0" fillId="0" borderId="0" xfId="0" applyAlignment="1">
      <alignment vertical="top" wrapText="1"/>
    </xf>
    <xf numFmtId="0" fontId="0" fillId="0" borderId="14" xfId="1" applyFont="1" applyBorder="1" applyAlignment="1" applyProtection="1">
      <alignment vertical="top" wrapText="1"/>
    </xf>
    <xf numFmtId="0" fontId="1" fillId="0" borderId="14" xfId="0" applyFont="1" applyBorder="1" applyAlignment="1">
      <alignment horizontal="left" vertical="top" wrapText="1"/>
    </xf>
    <xf numFmtId="0" fontId="0" fillId="0" borderId="8" xfId="0" applyBorder="1" applyAlignment="1">
      <alignment vertical="top" wrapText="1"/>
    </xf>
    <xf numFmtId="0" fontId="1" fillId="0" borderId="8" xfId="0" applyFont="1" applyBorder="1" applyAlignment="1">
      <alignment vertical="top" wrapText="1"/>
    </xf>
    <xf numFmtId="0" fontId="1" fillId="0" borderId="8" xfId="0" applyFont="1" applyBorder="1" applyAlignment="1">
      <alignment horizontal="center" vertical="top" wrapText="1"/>
    </xf>
    <xf numFmtId="0" fontId="0" fillId="0" borderId="11" xfId="0"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horizontal="center" vertical="top" wrapText="1"/>
    </xf>
    <xf numFmtId="0" fontId="0" fillId="0" borderId="11" xfId="0" applyFont="1" applyBorder="1" applyAlignment="1">
      <alignment vertical="top" wrapText="1"/>
    </xf>
    <xf numFmtId="0" fontId="1" fillId="0" borderId="0" xfId="0" applyFont="1" applyBorder="1" applyAlignment="1">
      <alignment vertical="top" wrapText="1"/>
    </xf>
    <xf numFmtId="0" fontId="0" fillId="0" borderId="14" xfId="0" applyFont="1" applyBorder="1" applyAlignment="1">
      <alignment vertical="top" wrapText="1"/>
    </xf>
    <xf numFmtId="0" fontId="0" fillId="0" borderId="6" xfId="0" applyBorder="1" applyAlignment="1">
      <alignment vertical="top" wrapText="1"/>
    </xf>
    <xf numFmtId="0" fontId="1" fillId="0" borderId="6" xfId="0" applyFont="1" applyBorder="1" applyAlignment="1">
      <alignment vertical="top" wrapText="1"/>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0" fontId="0" fillId="0" borderId="6" xfId="0" applyFont="1" applyBorder="1" applyAlignment="1">
      <alignment vertical="top" wrapText="1"/>
    </xf>
    <xf numFmtId="0" fontId="0" fillId="0" borderId="6" xfId="1" applyFont="1" applyBorder="1" applyAlignment="1" applyProtection="1">
      <alignmen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3" fillId="0" borderId="8" xfId="0" applyFont="1" applyFill="1" applyBorder="1" applyAlignment="1">
      <alignment horizontal="center" vertical="top" wrapText="1"/>
    </xf>
    <xf numFmtId="0" fontId="0" fillId="0" borderId="11" xfId="0" applyBorder="1" applyAlignment="1">
      <alignment horizontal="left" vertical="top" wrapText="1"/>
    </xf>
    <xf numFmtId="0" fontId="0" fillId="0" borderId="8" xfId="0" applyFont="1" applyBorder="1" applyAlignment="1">
      <alignment vertical="top" wrapText="1"/>
    </xf>
    <xf numFmtId="0" fontId="6" fillId="4" borderId="14" xfId="1" applyFont="1" applyFill="1" applyBorder="1" applyAlignment="1" applyProtection="1">
      <alignment horizontal="left" vertical="top" wrapText="1"/>
    </xf>
    <xf numFmtId="0" fontId="1" fillId="0" borderId="11" xfId="0" applyFont="1" applyFill="1" applyBorder="1" applyAlignment="1">
      <alignment vertical="top" wrapText="1"/>
    </xf>
    <xf numFmtId="0" fontId="0" fillId="0" borderId="11" xfId="0" applyFill="1" applyBorder="1" applyAlignment="1">
      <alignment horizontal="left" vertical="top" wrapText="1"/>
    </xf>
    <xf numFmtId="0" fontId="1" fillId="0" borderId="14" xfId="0" applyFont="1" applyFill="1" applyBorder="1" applyAlignment="1">
      <alignment vertical="top" wrapText="1"/>
    </xf>
    <xf numFmtId="0" fontId="0" fillId="0" borderId="14" xfId="0" applyFill="1" applyBorder="1" applyAlignment="1">
      <alignment horizontal="left" vertical="top" wrapText="1"/>
    </xf>
    <xf numFmtId="0" fontId="1" fillId="0"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6" xfId="0" applyFont="1" applyFill="1" applyBorder="1" applyAlignment="1">
      <alignment vertical="top" wrapText="1"/>
    </xf>
    <xf numFmtId="0" fontId="1" fillId="0" borderId="6"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3" fillId="0" borderId="14" xfId="0" applyFont="1" applyFill="1" applyBorder="1" applyAlignment="1">
      <alignment horizontal="center" vertical="top" wrapText="1"/>
    </xf>
    <xf numFmtId="0" fontId="3" fillId="0" borderId="6" xfId="0" applyFont="1" applyFill="1" applyBorder="1" applyAlignment="1">
      <alignment horizontal="center" vertical="top" wrapText="1"/>
    </xf>
    <xf numFmtId="0" fontId="1" fillId="0" borderId="8"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left" vertical="top" wrapText="1"/>
    </xf>
    <xf numFmtId="0" fontId="5" fillId="0" borderId="8" xfId="0" applyFont="1" applyFill="1" applyBorder="1" applyAlignment="1">
      <alignment horizontal="left" vertical="top" wrapText="1"/>
    </xf>
    <xf numFmtId="0" fontId="10" fillId="0" borderId="11" xfId="1" applyFont="1" applyBorder="1" applyAlignment="1" applyProtection="1">
      <alignment vertical="top" wrapText="1"/>
    </xf>
    <xf numFmtId="0" fontId="1" fillId="0" borderId="8" xfId="0" applyFont="1" applyFill="1" applyBorder="1" applyAlignment="1">
      <alignment horizontal="center" vertical="top" wrapText="1"/>
    </xf>
    <xf numFmtId="0" fontId="1" fillId="0" borderId="11" xfId="0" applyFont="1" applyFill="1" applyBorder="1" applyAlignment="1">
      <alignment horizontal="center" vertical="top" wrapText="1"/>
    </xf>
    <xf numFmtId="0" fontId="6" fillId="4" borderId="11" xfId="1" applyFont="1" applyFill="1" applyBorder="1" applyAlignment="1" applyProtection="1">
      <alignment horizontal="left" vertical="top" wrapText="1"/>
    </xf>
    <xf numFmtId="0" fontId="1" fillId="0" borderId="14" xfId="0" applyFont="1" applyFill="1" applyBorder="1" applyAlignment="1">
      <alignment horizontal="center" vertical="top" wrapText="1"/>
    </xf>
    <xf numFmtId="0" fontId="0" fillId="0" borderId="11" xfId="0" applyFill="1" applyBorder="1" applyAlignment="1">
      <alignment horizontal="righ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right" vertical="top" wrapText="1"/>
    </xf>
    <xf numFmtId="0" fontId="0" fillId="0" borderId="14" xfId="0" applyFill="1" applyBorder="1" applyAlignment="1">
      <alignment horizontal="right" vertical="top" wrapText="1"/>
    </xf>
    <xf numFmtId="0" fontId="1" fillId="0" borderId="14" xfId="0" applyFont="1" applyFill="1" applyBorder="1" applyAlignment="1">
      <alignment horizontal="right" vertical="top" wrapText="1"/>
    </xf>
    <xf numFmtId="0" fontId="0" fillId="0" borderId="6" xfId="0" applyFill="1" applyBorder="1" applyAlignment="1">
      <alignment horizontal="right" vertical="top" wrapText="1"/>
    </xf>
    <xf numFmtId="0" fontId="1" fillId="0" borderId="6" xfId="0" applyFont="1" applyFill="1" applyBorder="1" applyAlignment="1">
      <alignment horizontal="right" vertical="top" wrapText="1"/>
    </xf>
    <xf numFmtId="0" fontId="1" fillId="0" borderId="6" xfId="0" applyFont="1" applyFill="1" applyBorder="1" applyAlignment="1">
      <alignment horizontal="center" vertical="top" wrapText="1"/>
    </xf>
    <xf numFmtId="0" fontId="0" fillId="0" borderId="8" xfId="0" applyFill="1" applyBorder="1" applyAlignment="1">
      <alignment horizontal="left" vertical="top" wrapText="1"/>
    </xf>
    <xf numFmtId="0" fontId="0" fillId="0" borderId="8" xfId="0" applyFill="1" applyBorder="1" applyAlignment="1">
      <alignment horizontal="right" vertical="top" wrapText="1"/>
    </xf>
    <xf numFmtId="0" fontId="1" fillId="0" borderId="8" xfId="0" applyFont="1" applyFill="1" applyBorder="1" applyAlignment="1">
      <alignment horizontal="left" vertical="top" wrapText="1"/>
    </xf>
    <xf numFmtId="0" fontId="1" fillId="0" borderId="8" xfId="0" applyFont="1" applyFill="1" applyBorder="1" applyAlignment="1">
      <alignment horizontal="right" vertical="top" wrapText="1"/>
    </xf>
    <xf numFmtId="0" fontId="0" fillId="0" borderId="8" xfId="0" applyFont="1" applyFill="1" applyBorder="1" applyAlignment="1">
      <alignment vertical="top" wrapText="1"/>
    </xf>
    <xf numFmtId="0" fontId="1" fillId="0" borderId="0" xfId="0" applyFont="1">
      <alignment vertical="center"/>
    </xf>
    <xf numFmtId="0" fontId="1" fillId="0" borderId="8" xfId="0" applyFont="1" applyBorder="1">
      <alignment vertical="center"/>
    </xf>
    <xf numFmtId="0" fontId="0" fillId="0" borderId="11" xfId="1" applyFont="1" applyBorder="1" applyAlignment="1" applyProtection="1">
      <alignment horizontal="left" vertical="top" wrapText="1"/>
    </xf>
    <xf numFmtId="0" fontId="0" fillId="0" borderId="11"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6" xfId="0" applyFont="1" applyFill="1" applyBorder="1" applyAlignment="1">
      <alignment vertical="top" wrapText="1"/>
    </xf>
    <xf numFmtId="0" fontId="0" fillId="0" borderId="14" xfId="1" applyFont="1" applyBorder="1" applyAlignment="1" applyProtection="1">
      <alignment horizontal="left" vertical="top" wrapText="1"/>
    </xf>
    <xf numFmtId="0" fontId="1" fillId="3" borderId="6" xfId="1" applyFont="1" applyFill="1" applyBorder="1" applyAlignment="1" applyProtection="1">
      <alignment vertical="top" wrapText="1"/>
    </xf>
    <xf numFmtId="0" fontId="0" fillId="0" borderId="8" xfId="0" applyFont="1" applyBorder="1" applyAlignment="1">
      <alignment horizontal="center" vertical="top" wrapText="1"/>
    </xf>
    <xf numFmtId="0" fontId="6" fillId="4" borderId="14" xfId="1" applyFont="1" applyFill="1" applyBorder="1" applyAlignment="1" applyProtection="1">
      <alignment vertical="top" wrapText="1"/>
    </xf>
    <xf numFmtId="0" fontId="6" fillId="4" borderId="6" xfId="1" applyFont="1" applyFill="1" applyBorder="1" applyAlignment="1" applyProtection="1">
      <alignment horizontal="left" vertical="top" wrapText="1"/>
    </xf>
    <xf numFmtId="0" fontId="0" fillId="0" borderId="0" xfId="0" applyBorder="1" applyAlignment="1">
      <alignment vertical="top" wrapText="1"/>
    </xf>
    <xf numFmtId="0" fontId="7" fillId="0" borderId="8" xfId="1" applyFont="1" applyBorder="1" applyAlignment="1" applyProtection="1">
      <alignment vertical="top" wrapText="1"/>
    </xf>
    <xf numFmtId="0" fontId="6" fillId="3" borderId="11" xfId="1" applyFont="1" applyFill="1" applyBorder="1" applyAlignment="1" applyProtection="1">
      <alignment horizontal="left" vertical="center" wrapText="1"/>
    </xf>
    <xf numFmtId="0" fontId="6" fillId="0" borderId="14" xfId="1" applyFont="1" applyFill="1" applyBorder="1" applyAlignment="1" applyProtection="1">
      <alignment horizontal="left" vertical="center" wrapText="1"/>
    </xf>
    <xf numFmtId="0" fontId="6" fillId="0" borderId="6" xfId="1" applyFont="1" applyFill="1" applyBorder="1" applyAlignment="1" applyProtection="1">
      <alignment horizontal="left" vertical="center" wrapText="1"/>
    </xf>
    <xf numFmtId="0" fontId="1" fillId="0" borderId="8" xfId="0" applyFont="1" applyBorder="1" applyAlignment="1">
      <alignment horizontal="left" vertical="top" wrapText="1"/>
    </xf>
    <xf numFmtId="0" fontId="1" fillId="4" borderId="14" xfId="1" applyFont="1" applyFill="1" applyBorder="1" applyAlignment="1" applyProtection="1">
      <alignment vertical="top" wrapText="1"/>
    </xf>
    <xf numFmtId="0" fontId="1" fillId="4" borderId="6" xfId="1" applyFont="1" applyFill="1" applyBorder="1" applyAlignment="1" applyProtection="1">
      <alignment vertical="top" wrapText="1"/>
    </xf>
    <xf numFmtId="0" fontId="10" fillId="0" borderId="8" xfId="1" applyFont="1" applyBorder="1" applyAlignment="1" applyProtection="1">
      <alignment vertical="top" wrapText="1"/>
    </xf>
    <xf numFmtId="0" fontId="7" fillId="0" borderId="14" xfId="1" applyFont="1" applyBorder="1" applyAlignment="1" applyProtection="1">
      <alignment vertical="top" wrapText="1"/>
    </xf>
    <xf numFmtId="0" fontId="1" fillId="0" borderId="11" xfId="1" applyFont="1" applyBorder="1" applyAlignment="1" applyProtection="1">
      <alignment horizontal="left" vertical="top" wrapText="1"/>
    </xf>
    <xf numFmtId="0" fontId="0" fillId="0" borderId="8" xfId="0" applyBorder="1">
      <alignment vertical="center"/>
    </xf>
    <xf numFmtId="0" fontId="0" fillId="0" borderId="8" xfId="0" applyBorder="1" applyAlignment="1">
      <alignment vertical="center" wrapText="1"/>
    </xf>
    <xf numFmtId="0" fontId="0" fillId="0" borderId="0" xfId="0" applyBorder="1">
      <alignment vertical="center"/>
    </xf>
    <xf numFmtId="0" fontId="0" fillId="0" borderId="6" xfId="0" applyBorder="1" applyAlignment="1">
      <alignment vertical="center" wrapText="1"/>
    </xf>
    <xf numFmtId="0" fontId="0" fillId="0" borderId="6" xfId="0" applyBorder="1">
      <alignment vertical="center"/>
    </xf>
    <xf numFmtId="0" fontId="0" fillId="0" borderId="6" xfId="0" applyBorder="1" applyAlignment="1">
      <alignment horizontal="left" vertical="top"/>
    </xf>
    <xf numFmtId="0" fontId="0" fillId="0" borderId="11" xfId="0" applyBorder="1">
      <alignment vertical="center"/>
    </xf>
    <xf numFmtId="0" fontId="6" fillId="3" borderId="14" xfId="1" applyFont="1" applyFill="1" applyBorder="1" applyAlignment="1" applyProtection="1">
      <alignment vertical="center" wrapText="1"/>
    </xf>
    <xf numFmtId="0" fontId="1" fillId="0" borderId="10" xfId="0" applyFont="1" applyBorder="1" applyAlignment="1">
      <alignment vertical="top" wrapText="1"/>
    </xf>
    <xf numFmtId="0" fontId="1" fillId="0" borderId="0" xfId="1" applyFont="1" applyFill="1" applyBorder="1" applyAlignment="1" applyProtection="1">
      <alignment horizontal="left" vertical="top" wrapText="1"/>
    </xf>
    <xf numFmtId="0" fontId="5" fillId="0" borderId="8" xfId="1" applyFont="1" applyFill="1" applyBorder="1" applyAlignment="1" applyProtection="1">
      <alignment horizontal="left" vertical="top" wrapText="1"/>
    </xf>
    <xf numFmtId="0" fontId="0" fillId="0" borderId="8" xfId="1" applyFont="1" applyBorder="1" applyAlignment="1" applyProtection="1">
      <alignment vertical="top" wrapText="1"/>
    </xf>
    <xf numFmtId="0" fontId="7" fillId="0" borderId="11" xfId="1" applyFont="1" applyBorder="1" applyAlignment="1" applyProtection="1">
      <alignment vertical="top" wrapText="1"/>
    </xf>
    <xf numFmtId="0" fontId="7" fillId="0" borderId="6" xfId="1" applyFont="1" applyBorder="1" applyAlignment="1" applyProtection="1">
      <alignment vertical="top" wrapText="1"/>
    </xf>
    <xf numFmtId="0" fontId="0" fillId="0" borderId="15" xfId="0" applyBorder="1" applyAlignment="1">
      <alignment vertical="top" wrapText="1"/>
    </xf>
    <xf numFmtId="0" fontId="1" fillId="4" borderId="14" xfId="1" applyFont="1" applyFill="1" applyBorder="1" applyAlignment="1" applyProtection="1">
      <alignment horizontal="left" vertical="top" wrapText="1"/>
    </xf>
    <xf numFmtId="0" fontId="6" fillId="0" borderId="6" xfId="1" applyFont="1" applyFill="1" applyBorder="1" applyAlignment="1" applyProtection="1">
      <alignment vertical="top" wrapText="1"/>
    </xf>
    <xf numFmtId="0" fontId="1" fillId="4" borderId="6" xfId="1" applyFont="1" applyFill="1" applyBorder="1" applyAlignment="1" applyProtection="1">
      <alignment horizontal="left" vertical="top" wrapText="1"/>
    </xf>
    <xf numFmtId="0" fontId="5" fillId="0" borderId="14" xfId="0" applyFont="1" applyFill="1" applyBorder="1" applyAlignment="1">
      <alignment horizontal="left" vertical="top" wrapText="1"/>
    </xf>
    <xf numFmtId="0" fontId="1" fillId="0" borderId="0" xfId="0" applyFont="1" applyAlignment="1">
      <alignment vertical="top" wrapText="1"/>
    </xf>
    <xf numFmtId="0" fontId="1" fillId="0" borderId="11" xfId="0" applyFont="1" applyBorder="1" applyAlignment="1">
      <alignment horizontal="left" vertical="top" wrapText="1"/>
    </xf>
    <xf numFmtId="0" fontId="5" fillId="0" borderId="0" xfId="0" applyFont="1" applyFill="1" applyBorder="1" applyAlignment="1">
      <alignment horizontal="left" vertical="top" wrapText="1"/>
    </xf>
    <xf numFmtId="0" fontId="4" fillId="0" borderId="11" xfId="1" applyFill="1" applyBorder="1" applyAlignment="1" applyProtection="1">
      <alignment vertical="center" wrapText="1"/>
    </xf>
    <xf numFmtId="0" fontId="4" fillId="0" borderId="6" xfId="1" applyFill="1" applyBorder="1" applyAlignment="1" applyProtection="1">
      <alignment vertical="center" wrapText="1"/>
    </xf>
    <xf numFmtId="0" fontId="11" fillId="0" borderId="8" xfId="0" applyFont="1" applyFill="1" applyBorder="1" applyAlignment="1">
      <alignment horizontal="justify" vertical="top" wrapText="1"/>
    </xf>
    <xf numFmtId="0" fontId="0" fillId="0" borderId="8" xfId="0" applyFill="1" applyBorder="1" applyAlignment="1">
      <alignment vertical="top"/>
    </xf>
    <xf numFmtId="0" fontId="11" fillId="0" borderId="8" xfId="0" applyFont="1" applyFill="1" applyBorder="1" applyAlignment="1">
      <alignment vertical="top" wrapText="1"/>
    </xf>
    <xf numFmtId="0" fontId="0" fillId="0" borderId="8" xfId="0" applyFill="1" applyBorder="1" applyAlignment="1">
      <alignment vertical="center" wrapText="1"/>
    </xf>
    <xf numFmtId="0" fontId="1" fillId="0" borderId="8" xfId="0" applyFont="1" applyFill="1" applyBorder="1" applyAlignment="1">
      <alignment vertical="center" wrapText="1"/>
    </xf>
    <xf numFmtId="0" fontId="0" fillId="0" borderId="8" xfId="0" applyFill="1" applyBorder="1">
      <alignment vertical="center"/>
    </xf>
    <xf numFmtId="0" fontId="11" fillId="0" borderId="11" xfId="0" applyFont="1" applyFill="1" applyBorder="1" applyAlignment="1">
      <alignment vertical="top" wrapText="1"/>
    </xf>
    <xf numFmtId="0" fontId="0" fillId="0" borderId="11" xfId="0" applyFill="1" applyBorder="1" applyAlignment="1">
      <alignment vertical="center" wrapText="1"/>
    </xf>
    <xf numFmtId="0" fontId="1" fillId="0" borderId="11" xfId="0" applyFont="1" applyFill="1" applyBorder="1" applyAlignment="1">
      <alignment vertical="center" wrapText="1"/>
    </xf>
    <xf numFmtId="0" fontId="0" fillId="0" borderId="11" xfId="0" applyFill="1" applyBorder="1">
      <alignment vertical="center"/>
    </xf>
    <xf numFmtId="0" fontId="0" fillId="0" borderId="11" xfId="0" applyFill="1" applyBorder="1" applyAlignment="1">
      <alignment vertical="top"/>
    </xf>
    <xf numFmtId="0" fontId="11" fillId="0" borderId="6" xfId="0" applyFont="1" applyFill="1" applyBorder="1" applyAlignment="1">
      <alignment vertical="top" wrapText="1"/>
    </xf>
    <xf numFmtId="0" fontId="0" fillId="0" borderId="6" xfId="0" applyFill="1" applyBorder="1" applyAlignment="1">
      <alignment vertical="center" wrapText="1"/>
    </xf>
    <xf numFmtId="0" fontId="1" fillId="0" borderId="6" xfId="0" applyFont="1" applyFill="1" applyBorder="1" applyAlignment="1">
      <alignment vertical="center" wrapText="1"/>
    </xf>
    <xf numFmtId="0" fontId="0" fillId="0" borderId="6" xfId="0" applyFill="1" applyBorder="1">
      <alignment vertical="center"/>
    </xf>
    <xf numFmtId="0" fontId="0" fillId="0" borderId="6" xfId="0" applyFill="1" applyBorder="1" applyAlignment="1">
      <alignment vertical="top"/>
    </xf>
    <xf numFmtId="0" fontId="1" fillId="0" borderId="12" xfId="1" applyFont="1" applyFill="1" applyBorder="1" applyAlignment="1" applyProtection="1">
      <alignment vertical="center" wrapText="1"/>
    </xf>
    <xf numFmtId="0" fontId="1" fillId="0" borderId="12" xfId="1" applyFont="1" applyFill="1" applyBorder="1" applyAlignment="1" applyProtection="1">
      <alignment horizontal="left" vertical="center" wrapText="1"/>
    </xf>
    <xf numFmtId="0" fontId="5" fillId="0" borderId="12" xfId="1" applyFont="1" applyFill="1" applyBorder="1" applyAlignment="1" applyProtection="1">
      <alignment horizontal="left" vertical="center" wrapText="1"/>
    </xf>
    <xf numFmtId="0" fontId="11" fillId="0" borderId="14" xfId="0" applyFont="1" applyFill="1" applyBorder="1" applyAlignment="1">
      <alignment vertical="top" wrapText="1"/>
    </xf>
    <xf numFmtId="0" fontId="0" fillId="0" borderId="14" xfId="0" applyFill="1" applyBorder="1" applyAlignment="1">
      <alignment vertical="center" wrapText="1"/>
    </xf>
    <xf numFmtId="0" fontId="1" fillId="0" borderId="14" xfId="0" applyFont="1" applyFill="1" applyBorder="1" applyAlignment="1">
      <alignment vertical="center" wrapText="1"/>
    </xf>
    <xf numFmtId="0" fontId="0" fillId="0" borderId="14" xfId="0" applyFill="1" applyBorder="1">
      <alignment vertical="center"/>
    </xf>
    <xf numFmtId="0" fontId="1" fillId="0" borderId="13" xfId="1" applyFont="1" applyFill="1" applyBorder="1" applyAlignment="1" applyProtection="1">
      <alignment vertical="center" wrapText="1"/>
    </xf>
    <xf numFmtId="0" fontId="1" fillId="0" borderId="13" xfId="1" applyFont="1" applyFill="1" applyBorder="1" applyAlignment="1" applyProtection="1">
      <alignment horizontal="left" vertical="center" wrapText="1"/>
    </xf>
    <xf numFmtId="0" fontId="5" fillId="0" borderId="13" xfId="1" applyFont="1" applyFill="1" applyBorder="1" applyAlignment="1" applyProtection="1">
      <alignment horizontal="left" vertical="center" wrapText="1"/>
    </xf>
    <xf numFmtId="0" fontId="0" fillId="0" borderId="14" xfId="0" applyFill="1" applyBorder="1" applyAlignment="1">
      <alignment vertical="top"/>
    </xf>
    <xf numFmtId="0" fontId="4" fillId="0" borderId="11" xfId="1" applyFont="1" applyBorder="1" applyAlignment="1" applyProtection="1">
      <alignment horizontal="left" vertical="top" wrapText="1"/>
    </xf>
    <xf numFmtId="0" fontId="4" fillId="0" borderId="6" xfId="1" applyFont="1" applyBorder="1" applyAlignment="1" applyProtection="1">
      <alignment horizontal="left" vertical="top" wrapText="1"/>
    </xf>
    <xf numFmtId="0" fontId="6" fillId="0" borderId="8" xfId="1" applyFont="1" applyFill="1" applyBorder="1" applyAlignment="1" applyProtection="1">
      <alignment horizontal="left" vertical="top" wrapText="1"/>
    </xf>
    <xf numFmtId="0" fontId="0" fillId="0" borderId="0" xfId="0" applyBorder="1" applyAlignment="1">
      <alignment horizontal="left" vertical="top" wrapText="1"/>
    </xf>
    <xf numFmtId="0" fontId="4" fillId="0" borderId="8" xfId="1" applyFill="1" applyBorder="1" applyAlignment="1" applyProtection="1">
      <alignment vertical="center"/>
    </xf>
    <xf numFmtId="0" fontId="0" fillId="0" borderId="8" xfId="0" applyFont="1" applyFill="1" applyBorder="1" applyAlignment="1">
      <alignment vertical="center" wrapText="1"/>
    </xf>
    <xf numFmtId="0" fontId="1" fillId="0" borderId="0" xfId="0" applyFont="1" applyBorder="1" applyAlignment="1">
      <alignment horizontal="center"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4" fillId="0" borderId="11" xfId="1" applyBorder="1" applyAlignment="1" applyProtection="1">
      <alignment horizontal="left" vertical="top" wrapText="1"/>
    </xf>
    <xf numFmtId="0" fontId="4" fillId="0" borderId="6" xfId="1" applyBorder="1" applyAlignment="1" applyProtection="1">
      <alignment horizontal="left" vertical="top" wrapText="1"/>
    </xf>
    <xf numFmtId="0" fontId="1" fillId="0" borderId="12" xfId="0" applyFont="1" applyFill="1" applyBorder="1" applyAlignment="1">
      <alignment horizontal="left" vertical="top" wrapText="1"/>
    </xf>
    <xf numFmtId="0" fontId="5" fillId="0" borderId="12"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Fill="1" applyBorder="1" applyAlignment="1">
      <alignment vertical="top" wrapText="1"/>
    </xf>
    <xf numFmtId="0" fontId="3" fillId="0" borderId="6" xfId="0" applyFont="1" applyFill="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0" borderId="7" xfId="0" applyFont="1" applyFill="1" applyBorder="1" applyAlignment="1">
      <alignment horizontal="left" vertical="top" wrapText="1"/>
    </xf>
    <xf numFmtId="0" fontId="0" fillId="5"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1" xfId="0" applyFont="1" applyFill="1" applyBorder="1" applyAlignment="1">
      <alignment vertical="top" wrapText="1"/>
    </xf>
    <xf numFmtId="0" fontId="0" fillId="0" borderId="6" xfId="0" applyBorder="1" applyAlignment="1">
      <alignment vertical="top" wrapText="1"/>
    </xf>
    <xf numFmtId="0" fontId="3" fillId="0" borderId="6" xfId="0" applyFont="1" applyFill="1" applyBorder="1" applyAlignment="1">
      <alignment vertical="top" wrapText="1"/>
    </xf>
    <xf numFmtId="0" fontId="3" fillId="0" borderId="11" xfId="0" applyFont="1" applyFill="1" applyBorder="1" applyAlignment="1">
      <alignment horizontal="center" vertical="top" wrapText="1"/>
    </xf>
    <xf numFmtId="0" fontId="3" fillId="0" borderId="6" xfId="0" applyFont="1" applyFill="1" applyBorder="1" applyAlignment="1">
      <alignment horizontal="center" vertical="top" wrapText="1"/>
    </xf>
    <xf numFmtId="0" fontId="1" fillId="0" borderId="5" xfId="1" applyFont="1" applyFill="1" applyBorder="1" applyAlignment="1" applyProtection="1">
      <alignment horizontal="left" vertical="top" wrapText="1"/>
    </xf>
    <xf numFmtId="0" fontId="1" fillId="0" borderId="7" xfId="1" applyFont="1" applyFill="1" applyBorder="1" applyAlignment="1" applyProtection="1">
      <alignment horizontal="left" vertical="top" wrapText="1"/>
    </xf>
    <xf numFmtId="0" fontId="5" fillId="0" borderId="5" xfId="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3" fillId="0" borderId="4" xfId="0" applyFont="1" applyFill="1" applyBorder="1" applyAlignment="1">
      <alignment horizontal="left" vertical="top" wrapText="1"/>
    </xf>
    <xf numFmtId="0" fontId="1" fillId="0" borderId="12" xfId="1" applyFont="1" applyFill="1" applyBorder="1" applyAlignment="1" applyProtection="1">
      <alignment horizontal="left" vertical="top" wrapText="1"/>
    </xf>
    <xf numFmtId="0" fontId="5" fillId="0" borderId="12" xfId="1" applyFont="1" applyFill="1" applyBorder="1" applyAlignment="1" applyProtection="1">
      <alignment horizontal="left" vertical="top" wrapText="1"/>
    </xf>
    <xf numFmtId="0" fontId="3" fillId="0" borderId="4" xfId="0" applyFont="1" applyFill="1" applyBorder="1" applyAlignment="1">
      <alignment horizontal="center" vertical="top" wrapText="1"/>
    </xf>
    <xf numFmtId="0" fontId="0" fillId="0" borderId="11" xfId="0" applyFill="1" applyBorder="1" applyAlignment="1">
      <alignment vertical="top" wrapText="1"/>
    </xf>
    <xf numFmtId="0" fontId="0" fillId="0" borderId="14" xfId="0" applyFill="1" applyBorder="1" applyAlignment="1">
      <alignment vertical="top" wrapText="1"/>
    </xf>
    <xf numFmtId="0" fontId="3" fillId="0" borderId="14" xfId="0" applyFont="1" applyFill="1" applyBorder="1" applyAlignment="1">
      <alignment vertical="top" wrapText="1"/>
    </xf>
    <xf numFmtId="0" fontId="3" fillId="0" borderId="14" xfId="0" applyFont="1" applyFill="1" applyBorder="1" applyAlignment="1">
      <alignment horizontal="left" vertical="top" wrapText="1"/>
    </xf>
    <xf numFmtId="0" fontId="1" fillId="0" borderId="13" xfId="1" applyFont="1" applyFill="1" applyBorder="1" applyAlignment="1" applyProtection="1">
      <alignment horizontal="left" vertical="top" wrapText="1"/>
    </xf>
    <xf numFmtId="0" fontId="5" fillId="0" borderId="13" xfId="1" applyFont="1" applyFill="1" applyBorder="1" applyAlignment="1" applyProtection="1">
      <alignment horizontal="left" vertical="top" wrapText="1"/>
    </xf>
    <xf numFmtId="0" fontId="1"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1" xfId="1" applyFill="1" applyBorder="1" applyAlignment="1" applyProtection="1">
      <alignment horizontal="left" vertical="top" wrapText="1"/>
    </xf>
    <xf numFmtId="0" fontId="4" fillId="0" borderId="6" xfId="1" applyFill="1" applyBorder="1" applyAlignment="1" applyProtection="1">
      <alignment horizontal="left" vertical="top" wrapText="1"/>
    </xf>
    <xf numFmtId="0" fontId="5" fillId="0" borderId="14" xfId="1" applyFont="1" applyFill="1" applyBorder="1" applyAlignment="1" applyProtection="1">
      <alignment horizontal="left" vertical="top" wrapText="1"/>
    </xf>
    <xf numFmtId="0" fontId="5" fillId="0" borderId="6" xfId="1" applyFont="1" applyFill="1" applyBorder="1" applyAlignment="1" applyProtection="1">
      <alignment horizontal="left" vertical="top" wrapText="1"/>
    </xf>
    <xf numFmtId="0" fontId="0" fillId="0" borderId="14" xfId="1" applyFont="1" applyFill="1" applyBorder="1" applyAlignment="1" applyProtection="1">
      <alignment horizontal="left" vertical="top" wrapText="1"/>
    </xf>
    <xf numFmtId="0" fontId="0" fillId="0" borderId="6" xfId="1" applyFont="1" applyFill="1" applyBorder="1" applyAlignment="1" applyProtection="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1" fillId="0" borderId="11" xfId="1" applyFont="1" applyBorder="1" applyAlignment="1" applyProtection="1">
      <alignment horizontal="left" vertical="top" wrapText="1"/>
    </xf>
    <xf numFmtId="0" fontId="1" fillId="0" borderId="14" xfId="1" applyFont="1" applyBorder="1" applyAlignment="1" applyProtection="1">
      <alignment horizontal="left" vertical="top" wrapText="1"/>
    </xf>
    <xf numFmtId="0" fontId="0" fillId="0" borderId="14" xfId="0" applyBorder="1" applyAlignment="1">
      <alignment horizontal="lef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6" xfId="0" applyFont="1" applyBorder="1" applyAlignment="1">
      <alignment vertical="top" wrapText="1"/>
    </xf>
    <xf numFmtId="0" fontId="1" fillId="0" borderId="6" xfId="1" applyFont="1" applyBorder="1" applyAlignment="1" applyProtection="1">
      <alignment horizontal="left" vertical="top" wrapText="1"/>
    </xf>
    <xf numFmtId="0" fontId="4" fillId="0" borderId="11" xfId="1" applyBorder="1" applyAlignment="1" applyProtection="1">
      <alignment horizontal="left" vertical="top" wrapText="1"/>
    </xf>
    <xf numFmtId="0" fontId="4" fillId="0" borderId="14" xfId="1" applyBorder="1" applyAlignment="1" applyProtection="1">
      <alignment horizontal="left" vertical="top" wrapText="1"/>
    </xf>
    <xf numFmtId="0" fontId="4" fillId="0" borderId="6" xfId="1" applyBorder="1" applyAlignment="1" applyProtection="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left" vertical="top" wrapText="1"/>
    </xf>
    <xf numFmtId="0" fontId="4" fillId="0" borderId="14" xfId="1" applyFill="1" applyBorder="1" applyAlignment="1" applyProtection="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0" fontId="1" fillId="0" borderId="11" xfId="0" applyFont="1" applyFill="1" applyBorder="1" applyAlignment="1">
      <alignment horizontal="left" vertical="top" wrapText="1"/>
    </xf>
    <xf numFmtId="0" fontId="1" fillId="0" borderId="14"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1" fillId="0" borderId="6" xfId="0" applyFont="1" applyBorder="1" applyAlignment="1">
      <alignment horizontal="left" vertical="top" wrapText="1"/>
    </xf>
    <xf numFmtId="0" fontId="0" fillId="0" borderId="11" xfId="1" applyFont="1" applyFill="1" applyBorder="1" applyAlignment="1" applyProtection="1">
      <alignment horizontal="left" vertical="top" wrapText="1"/>
    </xf>
    <xf numFmtId="0" fontId="0" fillId="0" borderId="6" xfId="0" applyFill="1" applyBorder="1" applyAlignment="1">
      <alignment horizontal="left" vertical="top" wrapText="1"/>
    </xf>
    <xf numFmtId="0" fontId="5" fillId="0" borderId="11" xfId="1" applyFont="1" applyFill="1" applyBorder="1" applyAlignment="1" applyProtection="1">
      <alignment horizontal="left" vertical="top" wrapText="1"/>
    </xf>
    <xf numFmtId="0" fontId="6" fillId="4" borderId="14" xfId="1" applyFont="1" applyFill="1" applyBorder="1" applyAlignment="1" applyProtection="1">
      <alignment horizontal="left" vertical="top" wrapText="1"/>
    </xf>
    <xf numFmtId="0" fontId="6" fillId="4" borderId="6" xfId="1" applyFont="1" applyFill="1" applyBorder="1" applyAlignment="1" applyProtection="1">
      <alignment horizontal="left" vertical="top" wrapText="1"/>
    </xf>
    <xf numFmtId="0" fontId="0" fillId="0" borderId="11" xfId="0" applyFont="1" applyFill="1" applyBorder="1" applyAlignment="1">
      <alignment vertical="top" wrapText="1"/>
    </xf>
    <xf numFmtId="0" fontId="1" fillId="0" borderId="6" xfId="0" applyFont="1" applyFill="1" applyBorder="1" applyAlignment="1">
      <alignment vertical="top" wrapText="1"/>
    </xf>
    <xf numFmtId="0" fontId="0" fillId="0" borderId="11" xfId="1" applyFont="1" applyBorder="1" applyAlignment="1" applyProtection="1">
      <alignment horizontal="left" vertical="top" wrapText="1"/>
    </xf>
    <xf numFmtId="0" fontId="0" fillId="0" borderId="11" xfId="0" applyFont="1" applyBorder="1" applyAlignment="1">
      <alignment horizontal="left" vertical="top" wrapText="1"/>
    </xf>
    <xf numFmtId="0" fontId="0" fillId="0" borderId="14" xfId="0" applyFont="1" applyBorder="1" applyAlignment="1">
      <alignment horizontal="left" vertical="top" wrapText="1"/>
    </xf>
    <xf numFmtId="0" fontId="1" fillId="0" borderId="11" xfId="0" applyFont="1" applyFill="1" applyBorder="1" applyAlignment="1">
      <alignment vertical="top" wrapText="1"/>
    </xf>
    <xf numFmtId="0" fontId="1" fillId="0" borderId="14" xfId="0" applyFont="1" applyFill="1" applyBorder="1" applyAlignment="1">
      <alignment vertical="top" wrapText="1"/>
    </xf>
    <xf numFmtId="0" fontId="0" fillId="0" borderId="11" xfId="0" applyBorder="1" applyAlignment="1">
      <alignment horizontal="right" vertical="top" wrapText="1"/>
    </xf>
    <xf numFmtId="0" fontId="0" fillId="0" borderId="6" xfId="0" applyBorder="1" applyAlignment="1">
      <alignment horizontal="right" vertical="top" wrapText="1"/>
    </xf>
    <xf numFmtId="0" fontId="1" fillId="0" borderId="11" xfId="0" applyFont="1" applyBorder="1" applyAlignment="1">
      <alignment horizontal="right" vertical="top" wrapText="1"/>
    </xf>
    <xf numFmtId="0" fontId="1" fillId="0" borderId="6" xfId="0" applyFont="1" applyBorder="1" applyAlignment="1">
      <alignment horizontal="right"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0" fontId="0" fillId="0" borderId="11" xfId="0" applyFont="1" applyFill="1" applyBorder="1" applyAlignment="1">
      <alignment horizontal="left" vertical="top" wrapText="1"/>
    </xf>
    <xf numFmtId="0" fontId="0" fillId="0" borderId="6" xfId="0" applyFont="1" applyFill="1" applyBorder="1" applyAlignment="1">
      <alignment horizontal="left" vertical="top" wrapText="1"/>
    </xf>
    <xf numFmtId="0" fontId="1" fillId="0" borderId="6" xfId="0" applyFont="1" applyFill="1" applyBorder="1" applyAlignment="1">
      <alignment horizontal="left" vertical="top" wrapText="1"/>
    </xf>
    <xf numFmtId="0" fontId="0" fillId="0" borderId="11" xfId="0" applyBorder="1" applyAlignment="1">
      <alignment vertical="top" wrapText="1"/>
    </xf>
    <xf numFmtId="0" fontId="0" fillId="0" borderId="14" xfId="0" applyBorder="1" applyAlignment="1">
      <alignment vertical="top" wrapText="1"/>
    </xf>
    <xf numFmtId="0" fontId="1" fillId="0" borderId="11" xfId="0" applyFont="1" applyBorder="1" applyAlignment="1">
      <alignment vertical="top" wrapText="1"/>
    </xf>
    <xf numFmtId="0" fontId="1" fillId="0" borderId="14" xfId="0" applyFont="1" applyBorder="1" applyAlignment="1">
      <alignment vertical="top" wrapText="1"/>
    </xf>
    <xf numFmtId="0" fontId="1" fillId="0" borderId="6" xfId="0" applyFont="1" applyBorder="1" applyAlignment="1">
      <alignment vertical="top" wrapText="1"/>
    </xf>
    <xf numFmtId="0" fontId="1"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6" xfId="0" applyFont="1" applyBorder="1" applyAlignment="1">
      <alignment horizontal="center" vertical="top" wrapText="1"/>
    </xf>
    <xf numFmtId="0" fontId="6" fillId="3" borderId="14" xfId="1" applyFont="1" applyFill="1" applyBorder="1" applyAlignment="1" applyProtection="1">
      <alignment horizontal="left" vertical="center" wrapText="1"/>
    </xf>
    <xf numFmtId="0" fontId="6" fillId="3" borderId="6" xfId="1" applyFont="1" applyFill="1" applyBorder="1" applyAlignment="1" applyProtection="1">
      <alignment horizontal="left" vertical="center" wrapText="1"/>
    </xf>
    <xf numFmtId="0" fontId="0" fillId="0" borderId="0" xfId="0" applyBorder="1" applyAlignment="1">
      <alignment horizontal="righ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ameyamarekihaku.jp/sisi/RekisiHP/kingendai/01/m29siryo/m2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27"/>
  <sheetViews>
    <sheetView showGridLines="0" tabSelected="1" zoomScale="70" zoomScaleNormal="70" workbookViewId="0">
      <pane xSplit="7" ySplit="1" topLeftCell="H2" activePane="bottomRight" state="frozen"/>
      <selection pane="topRight" activeCell="H1" sqref="H1"/>
      <selection pane="bottomLeft" activeCell="A2" sqref="A2"/>
      <selection pane="bottomRight"/>
    </sheetView>
  </sheetViews>
  <sheetFormatPr defaultRowHeight="13.5" x14ac:dyDescent="0.15"/>
  <cols>
    <col min="1" max="1" width="9" style="279" customWidth="1"/>
    <col min="2" max="2" width="4.875" style="279" customWidth="1"/>
    <col min="3" max="3" width="7.25" style="280" customWidth="1"/>
    <col min="4" max="4" width="7" style="280" customWidth="1"/>
    <col min="5" max="5" width="3.75" style="281" customWidth="1"/>
    <col min="6" max="6" width="27.25" style="280" customWidth="1"/>
    <col min="7" max="7" width="27.5" style="280" customWidth="1"/>
    <col min="8" max="8" width="16.5" style="279" customWidth="1"/>
    <col min="9" max="9" width="16.5" style="280" customWidth="1"/>
    <col min="10" max="11" width="16.5" style="279" customWidth="1"/>
    <col min="12" max="13" width="27.375" style="279" customWidth="1"/>
    <col min="14" max="15" width="32.625" style="277" hidden="1" customWidth="1"/>
    <col min="16" max="16" width="32.625" style="277" customWidth="1"/>
    <col min="17" max="17" width="32.5" style="278" customWidth="1"/>
    <col min="18" max="18" width="32.375" style="279" customWidth="1"/>
    <col min="19" max="16384" width="9" style="279"/>
  </cols>
  <sheetData>
    <row r="1" spans="1:18" s="1" customFormat="1" ht="51.75" customHeight="1" thickBot="1" x14ac:dyDescent="0.2">
      <c r="A1" s="293" t="s">
        <v>0</v>
      </c>
      <c r="B1" s="293" t="s">
        <v>1</v>
      </c>
      <c r="C1" s="294" t="s">
        <v>2</v>
      </c>
      <c r="D1" s="295" t="s">
        <v>3</v>
      </c>
      <c r="E1" s="294" t="s">
        <v>4</v>
      </c>
      <c r="F1" s="294" t="s">
        <v>5</v>
      </c>
      <c r="G1" s="294" t="s">
        <v>6</v>
      </c>
      <c r="H1" s="293" t="s">
        <v>7</v>
      </c>
      <c r="I1" s="295" t="s">
        <v>8</v>
      </c>
      <c r="J1" s="293" t="s">
        <v>9</v>
      </c>
      <c r="K1" s="293" t="s">
        <v>10</v>
      </c>
      <c r="L1" s="293" t="s">
        <v>11</v>
      </c>
      <c r="M1" s="293" t="s">
        <v>12</v>
      </c>
      <c r="N1" s="296" t="s">
        <v>13</v>
      </c>
      <c r="O1" s="297" t="s">
        <v>14</v>
      </c>
      <c r="P1" s="296" t="s">
        <v>15</v>
      </c>
      <c r="Q1" s="295" t="s">
        <v>16</v>
      </c>
      <c r="R1" s="293" t="s">
        <v>17</v>
      </c>
    </row>
    <row r="2" spans="1:18" s="6" customFormat="1" ht="21" customHeight="1" thickTop="1" x14ac:dyDescent="0.15">
      <c r="A2" s="309" t="s">
        <v>18</v>
      </c>
      <c r="B2" s="2"/>
      <c r="C2" s="312" t="s">
        <v>19</v>
      </c>
      <c r="D2" s="2"/>
      <c r="E2" s="312" t="s">
        <v>20</v>
      </c>
      <c r="F2" s="2" t="s">
        <v>21</v>
      </c>
      <c r="G2" s="2" t="s">
        <v>22</v>
      </c>
      <c r="H2" s="2" t="s">
        <v>23</v>
      </c>
      <c r="I2" s="2" t="s">
        <v>24</v>
      </c>
      <c r="J2" s="3" t="str">
        <f>HYPERLINK("http://kameyamarekihaku.jp/sisi/koukoHP/gi/gi.htm?pf=sha8-6.jpg&amp;pn=%E6%AD%A3%E7%9F%A5%E6%B5%A6%E9%81%BA%E8%B7%A1%E7%AC%AC1%E6%AC%A1%E8%AA%BF%E6%9F%BB%E7%A9%BA%E4%B8%AD%E5%86%99%E7%9C%9F","正知浦遺跡")</f>
        <v>正知浦遺跡</v>
      </c>
      <c r="K2" s="309"/>
      <c r="L2" s="4" t="str">
        <f>HYPERLINK("http://kameyamarekihaku.jp/sisi/koukoHP/gi/gi.htm?pf=sha10-6.jpg&amp;pn=%E6%AD%A3%E6%B3%95%E5%AF%BA%E5%B1%B1%E8%8D%98%E8%B7%A1%E5%87%BA%E5%9C%9F%E3%81%AE%E6%9C%89%E8%88%8C%E5%85%88%E5%B0%96%E5%99%A8","有舌尖頭器")</f>
        <v>有舌尖頭器</v>
      </c>
      <c r="M2" s="2"/>
      <c r="N2" s="305" t="s">
        <v>25</v>
      </c>
      <c r="O2" s="305" t="s">
        <v>26</v>
      </c>
      <c r="P2" s="307" t="str">
        <f t="shared" ref="P2:P65" si="0">IFERROR(HYPERLINK(O2,N2),"")</f>
        <v>日本の歴史の中の亀山／古代の亀山／亀山のあけぼの／人が住み始めたころの亀山／縄文時代初めごろのくらし</v>
      </c>
      <c r="Q2" s="5" t="str">
        <f>HYPERLINK("http:/kameyamarekihaku.jp/sisi/KoukoHP/dai8sho.html","市史考古編第8章")</f>
        <v>市史考古編第8章</v>
      </c>
      <c r="R2" s="309" t="s">
        <v>27</v>
      </c>
    </row>
    <row r="3" spans="1:18" s="6" customFormat="1" ht="44.25" customHeight="1" x14ac:dyDescent="0.15">
      <c r="A3" s="299"/>
      <c r="B3" s="7"/>
      <c r="C3" s="304"/>
      <c r="D3" s="7"/>
      <c r="E3" s="304"/>
      <c r="F3" s="7"/>
      <c r="G3" s="7"/>
      <c r="H3" s="7" t="s">
        <v>28</v>
      </c>
      <c r="I3" s="7" t="s">
        <v>29</v>
      </c>
      <c r="J3" s="8" t="str">
        <f>HYPERLINK("http://kameyamarekihaku.jp/sisi/koukoHP/gi/gi.htm?pf=sha10-1.jpg&amp;pn=%E5%9B%BD%E5%8F%B2%E8%B7%A1%E9%96%A2%E6%B0%8F%E6%AD%A3%E6%B3%95%E5%AF%BA%E5%B1%B1%E8%8D%98%E8%B7%A1","正法寺山荘跡")</f>
        <v>正法寺山荘跡</v>
      </c>
      <c r="K3" s="299"/>
      <c r="L3" s="9"/>
      <c r="M3" s="7"/>
      <c r="N3" s="306"/>
      <c r="O3" s="306"/>
      <c r="P3" s="308">
        <f t="shared" si="0"/>
        <v>0</v>
      </c>
      <c r="Q3" s="10" t="str">
        <f>HYPERLINK("http:/kameyamarekihaku.jp/sisi/KoukoHP/dai10sho.html","市史考古編第10章")</f>
        <v>市史考古編第10章</v>
      </c>
      <c r="R3" s="299"/>
    </row>
    <row r="4" spans="1:18" s="6" customFormat="1" ht="29.25" customHeight="1" x14ac:dyDescent="0.15">
      <c r="A4" s="11" t="s">
        <v>30</v>
      </c>
      <c r="B4" s="11"/>
      <c r="C4" s="11"/>
      <c r="D4" s="11"/>
      <c r="E4" s="11" t="s">
        <v>20</v>
      </c>
      <c r="F4" s="11" t="s">
        <v>31</v>
      </c>
      <c r="G4" s="11"/>
      <c r="H4" s="11"/>
      <c r="I4" s="11"/>
      <c r="J4" s="11"/>
      <c r="K4" s="11"/>
      <c r="L4" s="11"/>
      <c r="M4" s="11"/>
      <c r="N4" s="12"/>
      <c r="O4" s="12" t="e">
        <v>#VALUE!</v>
      </c>
      <c r="P4" s="13" t="str">
        <f t="shared" si="0"/>
        <v/>
      </c>
      <c r="Q4" s="14"/>
      <c r="R4" s="11"/>
    </row>
    <row r="5" spans="1:18" s="6" customFormat="1" ht="59.25" customHeight="1" x14ac:dyDescent="0.15">
      <c r="A5" s="11" t="s">
        <v>32</v>
      </c>
      <c r="B5" s="11"/>
      <c r="C5" s="11" t="s">
        <v>33</v>
      </c>
      <c r="D5" s="11"/>
      <c r="E5" s="11" t="s">
        <v>34</v>
      </c>
      <c r="F5" s="11" t="s">
        <v>35</v>
      </c>
      <c r="G5" s="11"/>
      <c r="H5" s="11"/>
      <c r="I5" s="11"/>
      <c r="J5" s="11"/>
      <c r="K5" s="11"/>
      <c r="L5" s="11"/>
      <c r="M5" s="11"/>
      <c r="N5" s="12" t="s">
        <v>36</v>
      </c>
      <c r="O5" s="12" t="s">
        <v>37</v>
      </c>
      <c r="P5" s="13" t="str">
        <f t="shared" si="0"/>
        <v>日本の歴史の中の亀山／古代の亀山／亀山のあけぼの／人が住み始めたころの亀山／縄文時代の暮らし／縄文時代早期</v>
      </c>
      <c r="Q5" s="14"/>
      <c r="R5" s="11"/>
    </row>
    <row r="6" spans="1:18" s="6" customFormat="1" ht="18" customHeight="1" x14ac:dyDescent="0.15">
      <c r="A6" s="15" t="s">
        <v>32</v>
      </c>
      <c r="B6" s="15"/>
      <c r="C6" s="298" t="s">
        <v>38</v>
      </c>
      <c r="D6" s="15"/>
      <c r="E6" s="15" t="s">
        <v>20</v>
      </c>
      <c r="F6" s="15"/>
      <c r="G6" s="15" t="s">
        <v>39</v>
      </c>
      <c r="H6" s="15" t="s">
        <v>40</v>
      </c>
      <c r="I6" s="15" t="s">
        <v>41</v>
      </c>
      <c r="J6" s="16" t="str">
        <f>HYPERLINK("http://kameyamarekihaku.jp/sisi/koukoHP/gi/gi.htm?pf=sha1-1.jpg&amp;pn=%E5%A4%A7%E9%BC%BB%E9%81%BA%E8%B7%A1%E5%85%A8%E6%99%AF","大鼻遺跡")</f>
        <v>大鼻遺跡</v>
      </c>
      <c r="K6" s="15"/>
      <c r="L6" s="15" t="s">
        <v>42</v>
      </c>
      <c r="M6" s="15"/>
      <c r="N6" s="310" t="s">
        <v>43</v>
      </c>
      <c r="O6" s="310" t="s">
        <v>44</v>
      </c>
      <c r="P6" s="311" t="str">
        <f t="shared" si="0"/>
        <v>日本の歴史の中の亀山／古代の亀山／亀山のあけぼの／人が住み始めたころの亀山／縄文時代の暮らし／大鼻遺跡</v>
      </c>
      <c r="Q6" s="17" t="str">
        <f>HYPERLINK("http:/kameyamarekihaku.jp/sisi/KoukoHP/dai1sho.html","市史考古編第1章")</f>
        <v>市史考古編第1章</v>
      </c>
      <c r="R6" s="298" t="s">
        <v>45</v>
      </c>
    </row>
    <row r="7" spans="1:18" s="6" customFormat="1" ht="48.75" customHeight="1" x14ac:dyDescent="0.15">
      <c r="A7" s="7"/>
      <c r="B7" s="7"/>
      <c r="C7" s="299"/>
      <c r="D7" s="7"/>
      <c r="E7" s="7"/>
      <c r="F7" s="7"/>
      <c r="G7" s="7"/>
      <c r="H7" s="7"/>
      <c r="I7" s="7"/>
      <c r="J7" s="18"/>
      <c r="K7" s="7"/>
      <c r="L7" s="7"/>
      <c r="M7" s="7"/>
      <c r="N7" s="306"/>
      <c r="O7" s="306" t="e">
        <v>#VALUE!</v>
      </c>
      <c r="P7" s="308" t="str">
        <f t="shared" si="0"/>
        <v/>
      </c>
      <c r="Q7" s="10" t="str">
        <f>HYPERLINK("http:/kameyamarekihaku.jp/sisi/KoukoHP/iseki.html","市史考古編遺跡一覧N0.1")</f>
        <v>市史考古編遺跡一覧N0.1</v>
      </c>
      <c r="R7" s="299"/>
    </row>
    <row r="8" spans="1:18" s="6" customFormat="1" ht="48.75" customHeight="1" x14ac:dyDescent="0.15">
      <c r="A8" s="300" t="s">
        <v>32</v>
      </c>
      <c r="B8" s="300"/>
      <c r="C8" s="303" t="s">
        <v>46</v>
      </c>
      <c r="D8" s="300"/>
      <c r="E8" s="300" t="s">
        <v>20</v>
      </c>
      <c r="F8" s="300"/>
      <c r="G8" s="300" t="s">
        <v>47</v>
      </c>
      <c r="H8" s="15" t="s">
        <v>48</v>
      </c>
      <c r="I8" s="15" t="s">
        <v>49</v>
      </c>
      <c r="J8" s="16" t="str">
        <f>HYPERLINK("http://kameyamarekihaku.jp/sisi/koukoHP/gi/gi.htm?pf=sha3-2.jpg&amp;pn=%E5%9C%B0%E8%94%B5%E5%83%A7%E9%81%BA%E8%B7%A1%E9%81%A0%E6%99%AF%EF%BC%88%E5%8D%97%E3%81%8B%E3%82%89%EF%BC%89","地蔵僧遺跡")</f>
        <v>地蔵僧遺跡</v>
      </c>
      <c r="K8" s="15"/>
      <c r="L8" s="15" t="s">
        <v>50</v>
      </c>
      <c r="M8" s="15"/>
      <c r="N8" s="19" t="s">
        <v>51</v>
      </c>
      <c r="O8" s="19" t="s">
        <v>52</v>
      </c>
      <c r="P8" s="20" t="str">
        <f t="shared" si="0"/>
        <v>日本の歴史の中の亀山／古代の亀山／亀山のあけぼの／人が住み始めたころの亀山／縄文時代の暮らし／地蔵僧遺跡</v>
      </c>
      <c r="Q8" s="21" t="str">
        <f>HYPERLINK("http:/kameyamarekihaku.jp/sisi/KoukoHP/iseki.html","市史考古編遺跡一覧N0.6")</f>
        <v>市史考古編遺跡一覧N0.6</v>
      </c>
      <c r="R8" s="15" t="s">
        <v>53</v>
      </c>
    </row>
    <row r="9" spans="1:18" s="6" customFormat="1" ht="50.25" customHeight="1" x14ac:dyDescent="0.15">
      <c r="A9" s="301"/>
      <c r="B9" s="302"/>
      <c r="C9" s="304"/>
      <c r="D9" s="302"/>
      <c r="E9" s="302"/>
      <c r="F9" s="302"/>
      <c r="G9" s="302"/>
      <c r="H9" s="11" t="s">
        <v>54</v>
      </c>
      <c r="I9" s="11" t="s">
        <v>55</v>
      </c>
      <c r="J9" s="22" t="str">
        <f>HYPERLINK("http://kameyamarekihaku.jp/sisi/KoukoHP/archives/sawa01/01/01-03/gi.html?pf=YS0103-1006.JPG&amp;pn=%E6%B2%A2%E9%81%BA%E8%B7%A1%E7%AC%AC1%E6%AC%A1%E7%99%BA%E6%8E%98%E8%AA%BF%E6%9F%BB%E6%B2%A2%E9%81%BA%E8%B7%A1%E9%81%A0%E6%99%AF","沢遺跡")</f>
        <v>沢遺跡</v>
      </c>
      <c r="K9" s="11"/>
      <c r="L9" s="22" t="str">
        <f>HYPERLINK("http://kameyamarekihaku.jp/sisi/KoukoHP/archives/sawai2/01/01-04/gi.html?pf=SAWA20104-04-005.JPG&amp;pn=%E6%B2%A2%E9%81%BA%E8%B7%A1%E5%87%BA%E5%9C%9F%E7%B8%84%E6%96%87%E5%9C%9F%E5%99%A8%E6%B7%B1%E9%89%A2","縄文土器・石鏃")</f>
        <v>縄文土器・石鏃</v>
      </c>
      <c r="M9" s="11"/>
      <c r="N9" s="23" t="s">
        <v>56</v>
      </c>
      <c r="O9" s="23" t="s">
        <v>57</v>
      </c>
      <c r="P9" s="24" t="str">
        <f t="shared" si="0"/>
        <v>日本の歴史の中の亀山／古代の亀山／亀山のあけぼの／人が住み始めたころの亀山／縄文時代の暮らし／沢遺跡</v>
      </c>
      <c r="Q9" s="25" t="str">
        <f>HYPERLINK("http:/kameyamarekihaku.jp/sisi/KoukoHP/dai2sho.html","市史考古編第2章")</f>
        <v>市史考古編第2章</v>
      </c>
      <c r="R9" s="11" t="s">
        <v>58</v>
      </c>
    </row>
    <row r="10" spans="1:18" s="6" customFormat="1" ht="27.75" customHeight="1" x14ac:dyDescent="0.15">
      <c r="A10" s="11" t="s">
        <v>32</v>
      </c>
      <c r="B10" s="11"/>
      <c r="C10" s="11"/>
      <c r="D10" s="11"/>
      <c r="E10" s="11" t="s">
        <v>59</v>
      </c>
      <c r="F10" s="11" t="s">
        <v>60</v>
      </c>
      <c r="G10" s="11"/>
      <c r="H10" s="11"/>
      <c r="I10" s="11"/>
      <c r="J10" s="11"/>
      <c r="K10" s="11"/>
      <c r="L10" s="11"/>
      <c r="M10" s="11"/>
      <c r="N10" s="12"/>
      <c r="O10" s="12" t="e">
        <v>#VALUE!</v>
      </c>
      <c r="P10" s="13" t="str">
        <f t="shared" si="0"/>
        <v/>
      </c>
      <c r="Q10" s="14"/>
      <c r="R10" s="11"/>
    </row>
    <row r="11" spans="1:18" s="6" customFormat="1" ht="20.25" customHeight="1" x14ac:dyDescent="0.15">
      <c r="A11" s="15" t="s">
        <v>61</v>
      </c>
      <c r="B11" s="15"/>
      <c r="C11" s="15"/>
      <c r="D11" s="15"/>
      <c r="E11" s="15" t="s">
        <v>20</v>
      </c>
      <c r="F11" s="298" t="s">
        <v>62</v>
      </c>
      <c r="G11" s="15"/>
      <c r="H11" s="15" t="s">
        <v>40</v>
      </c>
      <c r="I11" s="15" t="s">
        <v>63</v>
      </c>
      <c r="J11" s="16" t="str">
        <f>HYPERLINK("http://kameyamarekihaku.jp/sisi/koukoHP/archives/yamasita_otosi/01/01-02/gi.html?pf=yamatosi0102-02-010.jpg&amp;pn=%E6%96%BC%E7%99%BB%E5%BF%97%E9%81%BA%E8%B7%A1%E8%AA%BF%E6%9F%BB%E5%89%8D%E5%85%A8%E6%99%AF","於登志遺跡")</f>
        <v>於登志遺跡</v>
      </c>
      <c r="K11" s="15"/>
      <c r="L11" s="15" t="s">
        <v>64</v>
      </c>
      <c r="M11" s="15"/>
      <c r="N11" s="310" t="s">
        <v>65</v>
      </c>
      <c r="O11" s="310" t="s">
        <v>66</v>
      </c>
      <c r="P11" s="311" t="str">
        <f t="shared" si="0"/>
        <v>日本の歴史の中の亀山／古代の亀山／亀山のあけぼの／弥生時代の暮らし／弥生文化と亀山／於登志遺跡</v>
      </c>
      <c r="Q11" s="21" t="str">
        <f>HYPERLINK("http:/kameyamarekihaku.jp/sisi/KoukoHP/iseki.html","市史考古編遺跡一覧N0.8")</f>
        <v>市史考古編遺跡一覧N0.8</v>
      </c>
      <c r="R11" s="298" t="s">
        <v>67</v>
      </c>
    </row>
    <row r="12" spans="1:18" s="6" customFormat="1" ht="45.75" customHeight="1" x14ac:dyDescent="0.15">
      <c r="A12" s="26"/>
      <c r="B12" s="26"/>
      <c r="C12" s="26"/>
      <c r="D12" s="26"/>
      <c r="E12" s="26"/>
      <c r="F12" s="316"/>
      <c r="G12" s="26"/>
      <c r="H12" s="26"/>
      <c r="I12" s="26"/>
      <c r="J12" s="27"/>
      <c r="K12" s="26"/>
      <c r="L12" s="26"/>
      <c r="M12" s="26"/>
      <c r="N12" s="317"/>
      <c r="O12" s="317" t="e">
        <v>#VALUE!</v>
      </c>
      <c r="P12" s="318" t="str">
        <f t="shared" si="0"/>
        <v/>
      </c>
      <c r="Q12" s="28" t="str">
        <f>HYPERLINK("http://kameyamarekihaku.jp/raikan_demae/140228_minami_syo.html","南小4年出前授業実践例「地いきにつくした人々〜田をひらく〜」")</f>
        <v>南小4年出前授業実践例「地いきにつくした人々〜田をひらく〜」</v>
      </c>
      <c r="R12" s="316"/>
    </row>
    <row r="13" spans="1:18" s="6" customFormat="1" ht="45.75" customHeight="1" x14ac:dyDescent="0.15">
      <c r="A13" s="26"/>
      <c r="B13" s="26"/>
      <c r="C13" s="26"/>
      <c r="D13" s="26"/>
      <c r="E13" s="26"/>
      <c r="F13" s="26"/>
      <c r="G13" s="26"/>
      <c r="H13" s="26"/>
      <c r="I13" s="26"/>
      <c r="J13" s="27"/>
      <c r="K13" s="26"/>
      <c r="L13" s="26"/>
      <c r="M13" s="26"/>
      <c r="N13" s="19"/>
      <c r="O13" s="19" t="e">
        <v>#VALUE!</v>
      </c>
      <c r="P13" s="20" t="str">
        <f t="shared" si="0"/>
        <v/>
      </c>
      <c r="Q13" s="28" t="str">
        <f>HYPERLINK("http://kameyamarekihaku.jp/raikan_demae/131125_nono_syo.html","野登小4年出前授業実践例「地いきにつくした人々〜田をひらく〜」")</f>
        <v>野登小4年出前授業実践例「地いきにつくした人々〜田をひらく〜」</v>
      </c>
      <c r="R13" s="299"/>
    </row>
    <row r="14" spans="1:18" s="6" customFormat="1" ht="61.5" customHeight="1" x14ac:dyDescent="0.15">
      <c r="A14" s="11" t="s">
        <v>68</v>
      </c>
      <c r="B14" s="11"/>
      <c r="C14" s="11"/>
      <c r="D14" s="11"/>
      <c r="E14" s="11" t="s">
        <v>34</v>
      </c>
      <c r="F14" s="11" t="s">
        <v>69</v>
      </c>
      <c r="G14" s="11"/>
      <c r="H14" s="11" t="s">
        <v>48</v>
      </c>
      <c r="I14" s="11" t="s">
        <v>49</v>
      </c>
      <c r="J14" s="22" t="str">
        <f>HYPERLINK("http://kameyamarekihaku.jp/sisi/koukoHP/gi/gi.htm?pf=sha3-1.jpg&amp;pn=%E5%9C%B0%E8%94%B5%E5%83%A7%E9%81%BA%E8%B7%A1%E5%91%A8%E8%BE%BA%E8%88%AA%E7%A9%BA%E5%86%99%E7%9C%9F%E2%80%BB%E6%98%AD%E5%92%8C45%E5%B9%B410%E6%9C%8825%E6%97%A5%E6%92%AE%E5%BD%B1","地蔵僧遺跡")</f>
        <v>地蔵僧遺跡</v>
      </c>
      <c r="K14" s="11"/>
      <c r="L14" s="11" t="s">
        <v>70</v>
      </c>
      <c r="M14" s="11"/>
      <c r="N14" s="23" t="s">
        <v>71</v>
      </c>
      <c r="O14" s="23" t="s">
        <v>52</v>
      </c>
      <c r="P14" s="24" t="str">
        <f t="shared" si="0"/>
        <v>日本の歴史の中の亀山／古代の亀山／亀山のあけぼの／弥生時代の暮らし／弥生文化と亀山／地蔵僧遺跡</v>
      </c>
      <c r="Q14" s="25" t="str">
        <f>HYPERLINK("http:/kameyamarekihaku.jp/sisi/KoukoHP/dai3sho.html","市史考古編第3章")</f>
        <v>市史考古編第3章</v>
      </c>
      <c r="R14" s="11" t="s">
        <v>53</v>
      </c>
    </row>
    <row r="15" spans="1:18" s="6" customFormat="1" ht="17.25" customHeight="1" x14ac:dyDescent="0.15">
      <c r="A15" s="11" t="s">
        <v>68</v>
      </c>
      <c r="B15" s="11">
        <v>1</v>
      </c>
      <c r="C15" s="11"/>
      <c r="D15" s="11">
        <v>57</v>
      </c>
      <c r="E15" s="11" t="s">
        <v>59</v>
      </c>
      <c r="F15" s="11" t="s">
        <v>72</v>
      </c>
      <c r="G15" s="11"/>
      <c r="H15" s="11"/>
      <c r="I15" s="11"/>
      <c r="J15" s="11"/>
      <c r="K15" s="11"/>
      <c r="L15" s="11" t="s">
        <v>73</v>
      </c>
      <c r="M15" s="11"/>
      <c r="N15" s="12"/>
      <c r="O15" s="12" t="e">
        <v>#VALUE!</v>
      </c>
      <c r="P15" s="13" t="str">
        <f t="shared" si="0"/>
        <v/>
      </c>
      <c r="Q15" s="14"/>
      <c r="R15" s="11"/>
    </row>
    <row r="16" spans="1:18" s="6" customFormat="1" ht="63.75" customHeight="1" x14ac:dyDescent="0.15">
      <c r="A16" s="11" t="s">
        <v>68</v>
      </c>
      <c r="B16" s="11"/>
      <c r="C16" s="11"/>
      <c r="D16" s="11"/>
      <c r="E16" s="11" t="s">
        <v>20</v>
      </c>
      <c r="F16" s="11" t="s">
        <v>74</v>
      </c>
      <c r="G16" s="11"/>
      <c r="H16" s="11" t="s">
        <v>40</v>
      </c>
      <c r="I16" s="11" t="s">
        <v>75</v>
      </c>
      <c r="J16" s="22" t="str">
        <f>HYPERLINK("http://kameyamarekihaku.jp/sisi/KoukoHP/archives/sebutani01/01/01-02/gi.html?pf=SEB01-02.JPG&amp;pn=%E5%8B%A2%E6%AD%A6%E8%B0%B7%E9%81%BA%E8%B7%A1%E5%91%A8%E8%BE%BA%E3%81%AE%E6%99%AF%E8%A6%B3%EF%BC%88%E5%8D%97%E4%B8%8A%E7%A9%BA%E3%81%8B%E3%82%89%EF%BC%89","勢武谷遺跡")</f>
        <v>勢武谷遺跡</v>
      </c>
      <c r="K16" s="11"/>
      <c r="L16" s="11" t="s">
        <v>76</v>
      </c>
      <c r="M16" s="11"/>
      <c r="N16" s="29" t="s">
        <v>77</v>
      </c>
      <c r="O16" s="29" t="s">
        <v>78</v>
      </c>
      <c r="P16" s="30" t="str">
        <f t="shared" si="0"/>
        <v>日本の歴史の中の亀山／古代の亀山／亀山のあけぼの／弥生時代の暮らし／邪馬台国の時代と亀山／勢武谷遺跡</v>
      </c>
      <c r="Q16" s="10" t="str">
        <f>HYPERLINK("http:/kameyamarekihaku.jp/sisi/KoukoHP/iseki.html","市史考古編遺跡一覧N0.9")</f>
        <v>市史考古編遺跡一覧N0.9</v>
      </c>
      <c r="R16" s="11" t="s">
        <v>79</v>
      </c>
    </row>
    <row r="17" spans="1:18" s="6" customFormat="1" ht="29.25" customHeight="1" x14ac:dyDescent="0.15">
      <c r="A17" s="15" t="s">
        <v>68</v>
      </c>
      <c r="B17" s="15">
        <v>3</v>
      </c>
      <c r="C17" s="15"/>
      <c r="D17" s="15">
        <v>239</v>
      </c>
      <c r="E17" s="15" t="s">
        <v>59</v>
      </c>
      <c r="F17" s="15" t="s">
        <v>80</v>
      </c>
      <c r="G17" s="15"/>
      <c r="H17" s="15"/>
      <c r="I17" s="15"/>
      <c r="J17" s="15"/>
      <c r="K17" s="15"/>
      <c r="L17" s="16" t="str">
        <f>HYPERLINK("http://kameyamarekihaku.jp/yane_no_nai/jissen_rei/gi.htm?pf=gisiwajin-2.JPG&amp;?pn=%e9%ad%8f%e5%bf%97%e5%80%ad%e4%ba%ba%e4%bc%9d","魏志倭人伝（二十一史） ")</f>
        <v xml:space="preserve">魏志倭人伝（二十一史） </v>
      </c>
      <c r="M17" s="15"/>
      <c r="N17" s="310" t="s">
        <v>81</v>
      </c>
      <c r="O17" s="310" t="s">
        <v>82</v>
      </c>
      <c r="P17" s="311" t="str">
        <f t="shared" si="0"/>
        <v>日本の歴史の中の亀山／古代の亀山／亀山のあけぼの／弥生時代の暮らし／邪馬台国の時代と亀山／魏志倭人伝</v>
      </c>
      <c r="Q17" s="21" t="str">
        <f>HYPERLINK("http:/kameyamarekihaku.jp/sisi/tuusiHP_next/tuusi-index.html#kochuusei0201","市史通史編 原始・古代・中世第2章第1節第2項")</f>
        <v>市史通史編 原始・古代・中世第2章第1節第2項</v>
      </c>
      <c r="R17" s="15" t="s">
        <v>83</v>
      </c>
    </row>
    <row r="18" spans="1:18" s="6" customFormat="1" ht="34.5" customHeight="1" x14ac:dyDescent="0.15">
      <c r="A18" s="26"/>
      <c r="B18" s="26"/>
      <c r="C18" s="26"/>
      <c r="D18" s="26"/>
      <c r="E18" s="26"/>
      <c r="F18" s="26"/>
      <c r="G18" s="26"/>
      <c r="H18" s="26"/>
      <c r="I18" s="26"/>
      <c r="J18" s="26"/>
      <c r="K18" s="26"/>
      <c r="L18" s="27"/>
      <c r="M18" s="26"/>
      <c r="N18" s="317"/>
      <c r="O18" s="317" t="e">
        <v>#VALUE!</v>
      </c>
      <c r="P18" s="318" t="str">
        <f t="shared" si="0"/>
        <v/>
      </c>
      <c r="Q18" s="28" t="str">
        <f>HYPERLINK("http://kameyamarekihaku.jp/raikan_demae/130607_hiruo.html","昼生小6年出前授業実践例「昼生の歴史の探し方」")</f>
        <v>昼生小6年出前授業実践例「昼生の歴史の探し方」</v>
      </c>
      <c r="R18" s="26"/>
    </row>
    <row r="19" spans="1:18" s="6" customFormat="1" ht="32.25" customHeight="1" x14ac:dyDescent="0.15">
      <c r="A19" s="7"/>
      <c r="B19" s="7"/>
      <c r="C19" s="7"/>
      <c r="D19" s="7"/>
      <c r="E19" s="7"/>
      <c r="F19" s="7"/>
      <c r="G19" s="7"/>
      <c r="H19" s="7"/>
      <c r="I19" s="7"/>
      <c r="J19" s="18"/>
      <c r="K19" s="7"/>
      <c r="L19" s="7"/>
      <c r="M19" s="7"/>
      <c r="N19" s="29"/>
      <c r="O19" s="29" t="e">
        <v>#VALUE!</v>
      </c>
      <c r="P19" s="30" t="str">
        <f t="shared" si="0"/>
        <v/>
      </c>
      <c r="Q19" s="31" t="str">
        <f>HYPERLINK("http://kameyamarekihaku.jp/yane_no_nai/jissen_rei/hiruo.html","昼生小6年出前授業実践例「亀山・昼生の歴史をさがしに」")</f>
        <v>昼生小6年出前授業実践例「亀山・昼生の歴史をさがしに」</v>
      </c>
      <c r="R19" s="7"/>
    </row>
    <row r="20" spans="1:18" s="6" customFormat="1" ht="27.75" customHeight="1" x14ac:dyDescent="0.15">
      <c r="A20" s="15" t="s">
        <v>68</v>
      </c>
      <c r="B20" s="15">
        <v>3</v>
      </c>
      <c r="C20" s="15"/>
      <c r="D20" s="15"/>
      <c r="E20" s="15" t="s">
        <v>34</v>
      </c>
      <c r="F20" s="15" t="s">
        <v>84</v>
      </c>
      <c r="G20" s="15"/>
      <c r="H20" s="15"/>
      <c r="I20" s="15"/>
      <c r="J20" s="15"/>
      <c r="K20" s="15"/>
      <c r="L20" s="15"/>
      <c r="M20" s="15"/>
      <c r="N20" s="32"/>
      <c r="O20" s="32" t="e">
        <v>#VALUE!</v>
      </c>
      <c r="P20" s="33" t="str">
        <f t="shared" si="0"/>
        <v/>
      </c>
      <c r="Q20" s="17" t="str">
        <f>HYPERLINK("http:/kameyamarekihaku.jp/sisi/tuusiHP_next/tuusi-index.html#kochuusei0202","市史通史編 原始・古代・中世第2章第2節")</f>
        <v>市史通史編 原始・古代・中世第2章第2節</v>
      </c>
      <c r="R20" s="15" t="s">
        <v>83</v>
      </c>
    </row>
    <row r="21" spans="1:18" s="6" customFormat="1" ht="27.75" customHeight="1" x14ac:dyDescent="0.15">
      <c r="A21" s="26"/>
      <c r="B21" s="26"/>
      <c r="C21" s="26"/>
      <c r="D21" s="26"/>
      <c r="E21" s="26"/>
      <c r="F21" s="26"/>
      <c r="G21" s="26"/>
      <c r="H21" s="26"/>
      <c r="I21" s="26"/>
      <c r="J21" s="26"/>
      <c r="K21" s="26"/>
      <c r="L21" s="26"/>
      <c r="M21" s="26"/>
      <c r="N21" s="19"/>
      <c r="O21" s="19" t="e">
        <v>#VALUE!</v>
      </c>
      <c r="P21" s="20" t="str">
        <f t="shared" si="0"/>
        <v/>
      </c>
      <c r="Q21" s="21" t="str">
        <f>HYPERLINK("http://kameyamarekihaku.jp/21theme/zone02/shousai1.html","過去の常設展示『古墳からわかること』")</f>
        <v>過去の常設展示『古墳からわかること』</v>
      </c>
      <c r="R21" s="26"/>
    </row>
    <row r="22" spans="1:18" s="6" customFormat="1" ht="30.75" customHeight="1" x14ac:dyDescent="0.15">
      <c r="A22" s="7"/>
      <c r="B22" s="7"/>
      <c r="C22" s="7"/>
      <c r="D22" s="7"/>
      <c r="E22" s="7"/>
      <c r="F22" s="7"/>
      <c r="G22" s="7"/>
      <c r="H22" s="7"/>
      <c r="I22" s="7"/>
      <c r="J22" s="18"/>
      <c r="K22" s="7"/>
      <c r="L22" s="7"/>
      <c r="M22" s="7"/>
      <c r="N22" s="29"/>
      <c r="O22" s="29" t="e">
        <v>#VALUE!</v>
      </c>
      <c r="P22" s="30" t="str">
        <f t="shared" si="0"/>
        <v/>
      </c>
      <c r="Q22" s="31" t="str">
        <f>HYPERLINK("http://kameyamarekihaku.jp/yane_no_nai/jissen_rei/hiruo.html","昼生小6年出前授業実践例「亀山・昼生の歴史をさがしに」")</f>
        <v>昼生小6年出前授業実践例「亀山・昼生の歴史をさがしに」</v>
      </c>
      <c r="R22" s="7"/>
    </row>
    <row r="23" spans="1:18" s="6" customFormat="1" x14ac:dyDescent="0.15">
      <c r="A23" s="11" t="s">
        <v>85</v>
      </c>
      <c r="B23" s="11">
        <v>3</v>
      </c>
      <c r="C23" s="11"/>
      <c r="D23" s="11"/>
      <c r="E23" s="11" t="s">
        <v>20</v>
      </c>
      <c r="F23" s="11" t="s">
        <v>86</v>
      </c>
      <c r="G23" s="11"/>
      <c r="H23" s="11"/>
      <c r="I23" s="11"/>
      <c r="J23" s="11"/>
      <c r="K23" s="11"/>
      <c r="L23" s="11"/>
      <c r="M23" s="11"/>
      <c r="N23" s="12"/>
      <c r="O23" s="12" t="e">
        <v>#VALUE!</v>
      </c>
      <c r="P23" s="13" t="str">
        <f t="shared" si="0"/>
        <v/>
      </c>
      <c r="Q23" s="14"/>
      <c r="R23" s="11"/>
    </row>
    <row r="24" spans="1:18" s="6" customFormat="1" x14ac:dyDescent="0.15">
      <c r="A24" s="11" t="s">
        <v>85</v>
      </c>
      <c r="B24" s="11">
        <v>4</v>
      </c>
      <c r="C24" s="11"/>
      <c r="D24" s="11">
        <v>391</v>
      </c>
      <c r="E24" s="11" t="s">
        <v>59</v>
      </c>
      <c r="F24" s="11" t="s">
        <v>87</v>
      </c>
      <c r="G24" s="11"/>
      <c r="H24" s="11"/>
      <c r="I24" s="11"/>
      <c r="J24" s="11"/>
      <c r="K24" s="11"/>
      <c r="L24" s="11"/>
      <c r="M24" s="11" t="s">
        <v>88</v>
      </c>
      <c r="N24" s="12"/>
      <c r="O24" s="12" t="e">
        <v>#VALUE!</v>
      </c>
      <c r="P24" s="13" t="str">
        <f t="shared" si="0"/>
        <v/>
      </c>
      <c r="Q24" s="14"/>
      <c r="R24" s="11"/>
    </row>
    <row r="25" spans="1:18" s="6" customFormat="1" ht="27" x14ac:dyDescent="0.15">
      <c r="A25" s="15" t="s">
        <v>85</v>
      </c>
      <c r="B25" s="15">
        <v>4</v>
      </c>
      <c r="C25" s="15" t="s">
        <v>89</v>
      </c>
      <c r="D25" s="15"/>
      <c r="E25" s="15" t="s">
        <v>90</v>
      </c>
      <c r="F25" s="15" t="s">
        <v>91</v>
      </c>
      <c r="G25" s="15"/>
      <c r="H25" s="15"/>
      <c r="I25" s="15"/>
      <c r="J25" s="15"/>
      <c r="K25" s="15"/>
      <c r="L25" s="15"/>
      <c r="M25" s="15"/>
      <c r="N25" s="34"/>
      <c r="O25" s="34" t="e">
        <v>#VALUE!</v>
      </c>
      <c r="P25" s="35" t="str">
        <f t="shared" si="0"/>
        <v/>
      </c>
      <c r="Q25" s="36"/>
      <c r="R25" s="15"/>
    </row>
    <row r="26" spans="1:18" s="6" customFormat="1" ht="44.25" customHeight="1" x14ac:dyDescent="0.15">
      <c r="A26" s="313" t="s">
        <v>92</v>
      </c>
      <c r="B26" s="300">
        <v>4</v>
      </c>
      <c r="C26" s="298" t="s">
        <v>93</v>
      </c>
      <c r="D26" s="300"/>
      <c r="E26" s="300" t="s">
        <v>34</v>
      </c>
      <c r="F26" s="300"/>
      <c r="G26" s="300" t="s">
        <v>94</v>
      </c>
      <c r="H26" s="298" t="s">
        <v>48</v>
      </c>
      <c r="I26" s="15" t="s">
        <v>95</v>
      </c>
      <c r="J26" s="16" t="str">
        <f>HYPERLINK("http://kameyamarekihaku.jp/sisi/koukoHP/gi/gi.htm?pf=sha4-1.jpg&amp;pn=%E8%83%BD%E8%A4%92%E9%87%8E%E7%8E%8B%E5%A1%9A%E5%8F%A4%E5%A2%B3%E5%91%A8%E8%BE%BA%E5%8F%A4%E5%A2%B3%E9%85%8D%E7%BD%AE","能褒野王塚古墳")</f>
        <v>能褒野王塚古墳</v>
      </c>
      <c r="K26" s="37" t="s">
        <v>96</v>
      </c>
      <c r="L26" s="16" t="str">
        <f>HYPERLINK("http://kameyamarekihaku.jp/sisi/koukoHP/gi/gi.htm?pf=sha4-3.jpg&amp;pn=%E8%83%BD%E8%A4%92%E9%87%8E%E7%8E%8B%E5%A1%9A%E5%8F%A4%E5%A2%B3%E9%B0%AD%E4%BB%98%E6%9C%9D%E9%A1%94%E5%BD%A2%E5%86%86%E7%AD%92%E5%9F%B4%E8%BC%AA%0A","鰭付朝顔形円筒埴輪")</f>
        <v>鰭付朝顔形円筒埴輪</v>
      </c>
      <c r="M26" s="16" t="str">
        <f>HYPERLINK("http://kameyamarekihaku.jp/sisi/koukoHP/gi/gi.htm?pf=sha4-1.jpg&amp;pn=%E8%83%BD%E8%A4%92%E9%87%8E%E7%8E%8B%E5%A1%9A%E5%8F%A4%E5%A2%B3%E5%91%A8%E8%BE%BA%E5%8F%A4%E5%A2%B3%E9%85%8D%E7%BD%AE","能褒野王塚古墳")</f>
        <v>能褒野王塚古墳</v>
      </c>
      <c r="N26" s="32" t="s">
        <v>97</v>
      </c>
      <c r="O26" s="32" t="s">
        <v>98</v>
      </c>
      <c r="P26" s="33" t="str">
        <f t="shared" si="0"/>
        <v>亀山のむかしばなし／亀山にまつわるひとびとの話／ヤマトタケル</v>
      </c>
      <c r="Q26" s="38" t="str">
        <f>HYPERLINK("http://kameyamarekihaku.jp/raikan_demae/141106_nonobori_syo.html","野登小1.2年遠足現地説明「ヤマトタケルと能褒野王塚古墳について知ろう」")</f>
        <v>野登小1.2年遠足現地説明「ヤマトタケルと能褒野王塚古墳について知ろう」</v>
      </c>
      <c r="R26" s="298" t="s">
        <v>99</v>
      </c>
    </row>
    <row r="27" spans="1:18" s="6" customFormat="1" ht="44.25" customHeight="1" x14ac:dyDescent="0.15">
      <c r="A27" s="314"/>
      <c r="B27" s="315"/>
      <c r="C27" s="316"/>
      <c r="D27" s="315"/>
      <c r="E27" s="315"/>
      <c r="F27" s="315"/>
      <c r="G27" s="315"/>
      <c r="H27" s="316"/>
      <c r="I27" s="26"/>
      <c r="J27" s="27"/>
      <c r="K27" s="39"/>
      <c r="L27" s="27"/>
      <c r="M27" s="27"/>
      <c r="N27" s="19" t="s">
        <v>100</v>
      </c>
      <c r="O27" s="19" t="s">
        <v>101</v>
      </c>
      <c r="P27" s="20" t="str">
        <f t="shared" si="0"/>
        <v>古典に出てくる亀山／歌／そのほかの場所</v>
      </c>
      <c r="Q27" s="28" t="str">
        <f>HYPERLINK("http://kameyamarekihaku.jp/yane_no_nai/h25_sougou.pdf","川崎小6年地域素材の教材化実践例「つなごう！わたしたちの川崎」")</f>
        <v>川崎小6年地域素材の教材化実践例「つなごう！わたしたちの川崎」</v>
      </c>
      <c r="R27" s="316"/>
    </row>
    <row r="28" spans="1:18" s="6" customFormat="1" ht="24.75" customHeight="1" x14ac:dyDescent="0.15">
      <c r="A28" s="314"/>
      <c r="B28" s="315"/>
      <c r="C28" s="316"/>
      <c r="D28" s="315"/>
      <c r="E28" s="315"/>
      <c r="F28" s="315"/>
      <c r="G28" s="315"/>
      <c r="H28" s="316"/>
      <c r="I28" s="26"/>
      <c r="J28" s="27"/>
      <c r="K28" s="39"/>
      <c r="L28" s="27"/>
      <c r="M28" s="27"/>
      <c r="N28" s="319" t="s">
        <v>102</v>
      </c>
      <c r="O28" s="319" t="s">
        <v>103</v>
      </c>
      <c r="P28" s="320" t="str">
        <f t="shared" si="0"/>
        <v>日本の歴史の中の亀山／古代の亀山／亀山のあけぼの／大王の時代と亀山の古墳／亀山の古墳文化／ひれつき埴輪</v>
      </c>
      <c r="Q28" s="21" t="str">
        <f>HYPERLINK("http:/kameyamarekihaku.jp/sisi/KoukoHP/dai4sho.html","市史考古編第4章")</f>
        <v>市史考古編第4章</v>
      </c>
      <c r="R28" s="316"/>
    </row>
    <row r="29" spans="1:18" s="6" customFormat="1" ht="31.5" customHeight="1" x14ac:dyDescent="0.15">
      <c r="A29" s="314"/>
      <c r="B29" s="315"/>
      <c r="C29" s="316"/>
      <c r="D29" s="315"/>
      <c r="E29" s="315"/>
      <c r="F29" s="315"/>
      <c r="G29" s="315"/>
      <c r="H29" s="316"/>
      <c r="I29" s="26"/>
      <c r="J29" s="27"/>
      <c r="K29" s="39"/>
      <c r="L29" s="40" t="str">
        <f>HYPERLINK("http://kameyamarekihaku.jp/sisi/koukoHP/gi/gi.htm?pf=zu4-4.jpg&amp;pn=%E3%80%80%E8%83%BD%E8%A4%92%E9%87%8E%E7%8E%8B%E5%A1%9A%E5%8F%A4%E5%A2%B3%E6%8E%A1%E9%9B%86%E5%9F%B4%E8%BC%AA%E5%AE%9F%E6%B8%AC%E5%9B%B3","形象埴輪片")</f>
        <v>形象埴輪片</v>
      </c>
      <c r="M29" s="27"/>
      <c r="N29" s="319"/>
      <c r="O29" s="319" t="e">
        <v>#VALUE!</v>
      </c>
      <c r="P29" s="320" t="str">
        <f t="shared" si="0"/>
        <v/>
      </c>
      <c r="Q29" s="21" t="str">
        <f>HYPERLINK("http:/kameyamarekihaku.jp/sisi/tuusiHP_next/tuusi-index.html#kochuusei0202","市史通史編 原始・古代・中世第2章第2節第1項")</f>
        <v>市史通史編 原始・古代・中世第2章第2節第1項</v>
      </c>
      <c r="R29" s="316"/>
    </row>
    <row r="30" spans="1:18" s="6" customFormat="1" ht="15.75" customHeight="1" x14ac:dyDescent="0.15">
      <c r="A30" s="314"/>
      <c r="B30" s="315"/>
      <c r="C30" s="316"/>
      <c r="D30" s="315"/>
      <c r="E30" s="315"/>
      <c r="F30" s="315"/>
      <c r="G30" s="315"/>
      <c r="H30" s="316"/>
      <c r="I30" s="26"/>
      <c r="J30" s="27"/>
      <c r="K30" s="27"/>
      <c r="L30" s="41"/>
      <c r="M30" s="27"/>
      <c r="N30" s="42" t="s">
        <v>104</v>
      </c>
      <c r="O30" s="19" t="s">
        <v>105</v>
      </c>
      <c r="P30" s="20" t="str">
        <f t="shared" si="0"/>
        <v>古典に出てくる亀山／旅</v>
      </c>
      <c r="Q30" s="21" t="str">
        <f>HYPERLINK("http:/kameyamarekihaku.jp/sisi/KoukoHP/iseki.html","市史考古編遺跡一覧N0.13")</f>
        <v>市史考古編遺跡一覧N0.13</v>
      </c>
      <c r="R30" s="316"/>
    </row>
    <row r="31" spans="1:18" s="6" customFormat="1" ht="32.25" customHeight="1" x14ac:dyDescent="0.15">
      <c r="A31" s="314"/>
      <c r="B31" s="315"/>
      <c r="C31" s="316"/>
      <c r="D31" s="315"/>
      <c r="E31" s="315"/>
      <c r="F31" s="315"/>
      <c r="G31" s="315"/>
      <c r="H31" s="43"/>
      <c r="I31" s="26"/>
      <c r="J31" s="27"/>
      <c r="K31" s="27"/>
      <c r="L31" s="44"/>
      <c r="M31" s="27"/>
      <c r="N31" s="317" t="s">
        <v>106</v>
      </c>
      <c r="O31" s="317" t="s">
        <v>107</v>
      </c>
      <c r="P31" s="318" t="str">
        <f t="shared" si="0"/>
        <v>日本の歴史の中の亀山／古代の亀山／亀山のあけぼの／大王の時代と亀山の古墳／亀山の古墳</v>
      </c>
      <c r="Q31" s="28" t="str">
        <f>HYPERLINK("http://kameyamarekihaku.jp/raikan_demae/140516_higasi_syo.html","東小6年出前授業実践例「大和朝廷と渡来人のかつやく」")</f>
        <v>東小6年出前授業実践例「大和朝廷と渡来人のかつやく」</v>
      </c>
      <c r="R31" s="43"/>
    </row>
    <row r="32" spans="1:18" s="6" customFormat="1" ht="32.25" customHeight="1" x14ac:dyDescent="0.15">
      <c r="A32" s="314"/>
      <c r="B32" s="315"/>
      <c r="C32" s="316"/>
      <c r="D32" s="315"/>
      <c r="E32" s="315"/>
      <c r="F32" s="315"/>
      <c r="G32" s="315"/>
      <c r="H32" s="43"/>
      <c r="I32" s="26"/>
      <c r="J32" s="27"/>
      <c r="K32" s="27"/>
      <c r="L32" s="45" t="str">
        <f>HYPERLINK("http://kameyamarekihaku.jp/yane_no_nai/unit_leaf/A-7.pdf","歴博貸出ユニットA－７")</f>
        <v>歴博貸出ユニットA－７</v>
      </c>
      <c r="M32" s="27"/>
      <c r="N32" s="317"/>
      <c r="O32" s="317" t="e">
        <v>#VALUE!</v>
      </c>
      <c r="P32" s="318" t="str">
        <f t="shared" si="0"/>
        <v/>
      </c>
      <c r="Q32" s="28" t="str">
        <f>HYPERLINK("http://kameyamarekihaku.jp/raikan_demae/140428_sirakawa_syo.html","白川小6年出前授業実践例「亀山の古代を探る」")</f>
        <v>白川小6年出前授業実践例「亀山の古代を探る」</v>
      </c>
      <c r="R32" s="43"/>
    </row>
    <row r="33" spans="1:18" s="6" customFormat="1" ht="18" customHeight="1" x14ac:dyDescent="0.15">
      <c r="A33" s="314"/>
      <c r="B33" s="315"/>
      <c r="C33" s="316"/>
      <c r="D33" s="315"/>
      <c r="E33" s="315"/>
      <c r="F33" s="315"/>
      <c r="G33" s="315"/>
      <c r="H33" s="15" t="s">
        <v>108</v>
      </c>
      <c r="I33" s="15" t="s">
        <v>95</v>
      </c>
      <c r="J33" s="16" t="str">
        <f>HYPERLINK("http://kameyamarekihaku.jp/sisi/koukoHP/gi/gi.htm?pf=zu4-6.jpg&amp;pn=%E5%90%8D%E8%B6%8A%E5%8F%A4%E5%A2%B3%E5%A2%B3%E4%B8%98%E5%BE%A9%E5%85%83%E5%9B%B3","名越古墳")</f>
        <v>名越古墳</v>
      </c>
      <c r="K33" s="26"/>
      <c r="L33" s="26" t="s">
        <v>109</v>
      </c>
      <c r="M33" s="16" t="str">
        <f>HYPERLINK("http://kameyamarekihaku.jp/sisi/koukoHP/gi/gi.htm?pf=zu4-6.jpg&amp;pn=%E5%90%8D%E8%B6%8A%E5%8F%A4%E5%A2%B3%E5%A2%B3%E4%B8%98%E5%BE%A9%E5%85%83%E5%9B%B3","名越古墳")</f>
        <v>名越古墳</v>
      </c>
      <c r="N33" s="310" t="s">
        <v>110</v>
      </c>
      <c r="O33" s="310" t="s">
        <v>111</v>
      </c>
      <c r="P33" s="311" t="str">
        <f t="shared" si="0"/>
        <v>日本の歴史の中の亀山／古代の亀山／古代国家のあゆみと亀山／天平文化と亀山／ヤマトタケルと能褒野</v>
      </c>
      <c r="Q33" s="17" t="str">
        <f>HYPERLINK("http:/kameyamarekihaku.jp/sisi/KoukoHP/dai4sho.html","市史考古編第4章")</f>
        <v>市史考古編第4章</v>
      </c>
      <c r="R33" s="15" t="s">
        <v>112</v>
      </c>
    </row>
    <row r="34" spans="1:18" s="6" customFormat="1" ht="27" customHeight="1" x14ac:dyDescent="0.15">
      <c r="A34" s="314"/>
      <c r="B34" s="315"/>
      <c r="C34" s="316"/>
      <c r="D34" s="315"/>
      <c r="E34" s="315"/>
      <c r="F34" s="315"/>
      <c r="G34" s="315"/>
      <c r="H34" s="7"/>
      <c r="I34" s="26"/>
      <c r="J34" s="18"/>
      <c r="K34" s="7"/>
      <c r="L34" s="27" t="str">
        <f>HYPERLINK("http://kameyamarekihaku.jp/sisi/koukoHP/gi/gi.htm?pf=zu4-7.jpg&amp;pn=%E5%90%8D%E8%B6%8A%E5%8F%A4%E5%A2%B3%E6%8E%A1%E9%9B%86%E5%9F%B4%E8%BC%AA%E5%AE%9F%E6%B8%AC%E5%9B%B3%EF%BC%88%EF%BC%91%EF%BC%89","形象埴輪片")</f>
        <v>形象埴輪片</v>
      </c>
      <c r="M34" s="18"/>
      <c r="N34" s="306"/>
      <c r="O34" s="306" t="e">
        <v>#VALUE!</v>
      </c>
      <c r="P34" s="308" t="str">
        <f t="shared" si="0"/>
        <v/>
      </c>
      <c r="Q34" s="46" t="str">
        <f>HYPERLINK("http:/kameyamarekihaku.jp/sisi/KoukoHP/iseki.html","市史考古編遺跡一覧N0.14")</f>
        <v>市史考古編遺跡一覧N0.14</v>
      </c>
      <c r="R34" s="26"/>
    </row>
    <row r="35" spans="1:18" s="6" customFormat="1" ht="17.25" customHeight="1" x14ac:dyDescent="0.15">
      <c r="A35" s="314"/>
      <c r="B35" s="315"/>
      <c r="C35" s="316"/>
      <c r="D35" s="315"/>
      <c r="E35" s="315"/>
      <c r="F35" s="315"/>
      <c r="G35" s="315"/>
      <c r="H35" s="15" t="s">
        <v>113</v>
      </c>
      <c r="I35" s="15" t="s">
        <v>114</v>
      </c>
      <c r="J35" s="16" t="str">
        <f>HYPERLINK("http://kameyamarekihaku.jp/sisi/koukoHP/gi/gi.htm?pf=zu4-11.jpg&amp;pn=%E4%B8%8A%E6%A4%8E%E3%83%8E%E6%9C%A81%E5%8F%B7%E5%A2%B3%E5%A2%B3%E4%B8%98%E5%9B%B3","上椎ノ木古墳")</f>
        <v>上椎ノ木古墳</v>
      </c>
      <c r="K35" s="26"/>
      <c r="L35" s="15"/>
      <c r="M35" s="16" t="str">
        <f>HYPERLINK("http://kameyamarekihaku.jp/sisi/koukoHP/gi/gi.htm?pf=zu4-11.jpg&amp;pn=%E4%B8%8A%E6%A4%8E%E3%83%8E%E6%9C%A81%E5%8F%B7%E5%A2%B3%E5%A2%B3%E4%B8%98%E5%9B%B3","上椎ノ木古墳")</f>
        <v>上椎ノ木古墳</v>
      </c>
      <c r="N35" s="317" t="s">
        <v>115</v>
      </c>
      <c r="O35" s="317" t="s">
        <v>116</v>
      </c>
      <c r="P35" s="318" t="str">
        <f t="shared" si="0"/>
        <v>亀山のいいとこさがし／景色のよいところや歴史を知る手掛かりとなるもの／歴史上の場所／能褒野王塚古墳</v>
      </c>
      <c r="Q35" s="17" t="str">
        <f>HYPERLINK("http:/kameyamarekihaku.jp/sisi/KoukoHP/dai4sho.html","市史考古編第4章")</f>
        <v>市史考古編第4章</v>
      </c>
      <c r="R35" s="298" t="s">
        <v>117</v>
      </c>
    </row>
    <row r="36" spans="1:18" s="6" customFormat="1" ht="42" customHeight="1" x14ac:dyDescent="0.15">
      <c r="A36" s="314"/>
      <c r="B36" s="315"/>
      <c r="C36" s="316"/>
      <c r="D36" s="315"/>
      <c r="E36" s="315"/>
      <c r="F36" s="315"/>
      <c r="G36" s="315"/>
      <c r="H36" s="7"/>
      <c r="I36" s="7"/>
      <c r="J36" s="18"/>
      <c r="K36" s="26"/>
      <c r="L36" s="7"/>
      <c r="M36" s="7"/>
      <c r="N36" s="306"/>
      <c r="O36" s="306" t="e">
        <v>#VALUE!</v>
      </c>
      <c r="P36" s="308" t="str">
        <f t="shared" si="0"/>
        <v/>
      </c>
      <c r="Q36" s="10" t="str">
        <f>HYPERLINK("http:/kameyamarekihaku.jp/sisi/KoukoHP/iseki.html","市史考古編遺跡一覧N0.25")</f>
        <v>市史考古編遺跡一覧N0.25</v>
      </c>
      <c r="R36" s="299"/>
    </row>
    <row r="37" spans="1:18" s="6" customFormat="1" x14ac:dyDescent="0.15">
      <c r="A37" s="11" t="s">
        <v>85</v>
      </c>
      <c r="B37" s="11">
        <v>5</v>
      </c>
      <c r="C37" s="11"/>
      <c r="D37" s="11"/>
      <c r="E37" s="11" t="s">
        <v>34</v>
      </c>
      <c r="F37" s="11" t="s">
        <v>118</v>
      </c>
      <c r="G37" s="11"/>
      <c r="H37" s="11"/>
      <c r="I37" s="11"/>
      <c r="J37" s="11"/>
      <c r="K37" s="11"/>
      <c r="L37" s="11"/>
      <c r="M37" s="11"/>
      <c r="N37" s="23"/>
      <c r="O37" s="23" t="e">
        <v>#VALUE!</v>
      </c>
      <c r="P37" s="24" t="str">
        <f t="shared" si="0"/>
        <v/>
      </c>
      <c r="Q37" s="47" t="str">
        <f>HYPERLINK("http://kameyamarekihaku.jp/21theme/zone02/shousai1.html","過去の常設展示『古墳からわかること』")</f>
        <v>過去の常設展示『古墳からわかること』</v>
      </c>
      <c r="R37" s="11"/>
    </row>
    <row r="38" spans="1:18" s="6" customFormat="1" ht="27" x14ac:dyDescent="0.15">
      <c r="A38" s="11" t="s">
        <v>85</v>
      </c>
      <c r="B38" s="11">
        <v>5</v>
      </c>
      <c r="C38" s="11"/>
      <c r="D38" s="11">
        <v>478</v>
      </c>
      <c r="E38" s="11" t="s">
        <v>59</v>
      </c>
      <c r="F38" s="11" t="s">
        <v>119</v>
      </c>
      <c r="G38" s="11"/>
      <c r="H38" s="11"/>
      <c r="I38" s="11"/>
      <c r="J38" s="11"/>
      <c r="K38" s="11"/>
      <c r="L38" s="11"/>
      <c r="M38" s="11"/>
      <c r="N38" s="12"/>
      <c r="O38" s="12" t="e">
        <v>#VALUE!</v>
      </c>
      <c r="P38" s="13" t="str">
        <f t="shared" si="0"/>
        <v/>
      </c>
      <c r="Q38" s="14"/>
      <c r="R38" s="11"/>
    </row>
    <row r="39" spans="1:18" s="6" customFormat="1" ht="18" customHeight="1" x14ac:dyDescent="0.15">
      <c r="A39" s="300" t="s">
        <v>85</v>
      </c>
      <c r="B39" s="300">
        <v>5</v>
      </c>
      <c r="C39" s="298" t="s">
        <v>120</v>
      </c>
      <c r="D39" s="300"/>
      <c r="E39" s="300" t="s">
        <v>34</v>
      </c>
      <c r="F39" s="300"/>
      <c r="G39" s="300" t="s">
        <v>121</v>
      </c>
      <c r="H39" s="15" t="s">
        <v>122</v>
      </c>
      <c r="I39" s="15" t="s">
        <v>123</v>
      </c>
      <c r="J39" s="16" t="str">
        <f>HYPERLINK("http://kameyamarekihaku.jp/sisi/KoukoHP/archives/konotaikoji/01/01-12/gi.html?pf=TJ0112-184.JPG&amp;pn=%E6%9C%A8%E4%B8%8B%E5%8F%A4%E5%A2%B3%E8%AA%BF%E6%9F%BB%E9%A2%A8%E6%99%AF","木下古墳")</f>
        <v>木下古墳</v>
      </c>
      <c r="K39" s="15"/>
      <c r="L39" s="16" t="str">
        <f>HYPERLINK("http://kameyamarekihaku.jp/sisi/KoukoHP/archives/konosideibutu/01/01-01/gi.html?pf=KK0101-116.JPG&amp;pn=%E4%BA%BA%E7%89%A9%E5%9F%B4%E8%BC%AA","人物埴輪写真")</f>
        <v>人物埴輪写真</v>
      </c>
      <c r="M39" s="15" t="s">
        <v>124</v>
      </c>
      <c r="N39" s="310" t="s">
        <v>125</v>
      </c>
      <c r="O39" s="310" t="s">
        <v>126</v>
      </c>
      <c r="P39" s="311" t="str">
        <f t="shared" si="0"/>
        <v>日本の歴史の中の亀山／古代の亀山／亀山のあけぼの／大王の時代と亀山の古墳／亀山の古墳／さまざまな古墳（１）</v>
      </c>
      <c r="Q39" s="48" t="str">
        <f>HYPERLINK("http:/kameyamarekihaku.jp/sisi/KoukoHP/iseki.html","市史考古編遺跡一覧No.17")</f>
        <v>市史考古編遺跡一覧No.17</v>
      </c>
      <c r="R39" s="298" t="s">
        <v>127</v>
      </c>
    </row>
    <row r="40" spans="1:18" s="6" customFormat="1" ht="24.75" customHeight="1" x14ac:dyDescent="0.15">
      <c r="A40" s="315"/>
      <c r="B40" s="315"/>
      <c r="C40" s="316"/>
      <c r="D40" s="315"/>
      <c r="E40" s="315"/>
      <c r="F40" s="315"/>
      <c r="G40" s="315"/>
      <c r="H40" s="7"/>
      <c r="I40" s="7"/>
      <c r="J40" s="18"/>
      <c r="K40" s="7"/>
      <c r="L40" s="18" t="str">
        <f>HYPERLINK("http://kameyamarekihaku.jp/sisi/KoukoHP/archives/konosideibutu/01/01-02/gi.html?pf=KK0102-115.JPG&amp;pn=%E5%AE%B6%E5%BD%A2%E5%9F%B4%E8%BC%AA","家形埴輪写真")</f>
        <v>家形埴輪写真</v>
      </c>
      <c r="M40" s="7"/>
      <c r="N40" s="317"/>
      <c r="O40" s="317" t="e">
        <v>#VALUE!</v>
      </c>
      <c r="P40" s="318" t="str">
        <f t="shared" si="0"/>
        <v/>
      </c>
      <c r="Q40" s="9"/>
      <c r="R40" s="316"/>
    </row>
    <row r="41" spans="1:18" s="6" customFormat="1" ht="14.25" customHeight="1" x14ac:dyDescent="0.15">
      <c r="A41" s="315"/>
      <c r="B41" s="315"/>
      <c r="C41" s="316"/>
      <c r="D41" s="315"/>
      <c r="E41" s="315"/>
      <c r="F41" s="315"/>
      <c r="G41" s="315"/>
      <c r="H41" s="26" t="s">
        <v>128</v>
      </c>
      <c r="I41" s="26" t="s">
        <v>129</v>
      </c>
      <c r="J41" s="27" t="str">
        <f>HYPERLINK("http://kameyamarekihaku.jp/sisi/KoukoHP/archives/siroyama/01/01-17/gi.html?pf=SROY01-03.JPG&amp;pn=%E5%9F%8E%E5%B1%B1%E5%8F%A4%E5%A2%B3%E9%81%A0%E6%99%AF%EF%BC%88%E5%8D%97%E3%81%8B%E3%82%89%EF%BC%89","城山古墳")</f>
        <v>城山古墳</v>
      </c>
      <c r="K41" s="26"/>
      <c r="L41" s="26" t="s">
        <v>130</v>
      </c>
      <c r="M41" s="26"/>
      <c r="N41" s="317"/>
      <c r="O41" s="317" t="e">
        <v>#VALUE!</v>
      </c>
      <c r="P41" s="318" t="str">
        <f t="shared" si="0"/>
        <v/>
      </c>
      <c r="Q41" s="49" t="str">
        <f>HYPERLINK("http:/kameyamarekihaku.jp/sisi/KoukoHP/iseki.html","市史考古編遺跡一覧N0.15")</f>
        <v>市史考古編遺跡一覧N0.15</v>
      </c>
      <c r="R41" s="316"/>
    </row>
    <row r="42" spans="1:18" s="6" customFormat="1" ht="30.75" customHeight="1" x14ac:dyDescent="0.15">
      <c r="A42" s="7"/>
      <c r="B42" s="7"/>
      <c r="C42" s="9"/>
      <c r="D42" s="7"/>
      <c r="E42" s="7"/>
      <c r="F42" s="7"/>
      <c r="G42" s="7"/>
      <c r="H42" s="7"/>
      <c r="I42" s="7"/>
      <c r="J42" s="18"/>
      <c r="K42" s="7"/>
      <c r="L42" s="7"/>
      <c r="M42" s="7"/>
      <c r="N42" s="306"/>
      <c r="O42" s="306" t="e">
        <v>#VALUE!</v>
      </c>
      <c r="P42" s="308" t="str">
        <f t="shared" si="0"/>
        <v/>
      </c>
      <c r="Q42" s="46" t="str">
        <f>HYPERLINK("http://kameyamarekihaku.jp/21theme/zone02/shousai1.html","過去の常設展示『古墳からわかること』")</f>
        <v>過去の常設展示『古墳からわかること』</v>
      </c>
      <c r="R42" s="299"/>
    </row>
    <row r="43" spans="1:18" s="6" customFormat="1" ht="52.5" customHeight="1" x14ac:dyDescent="0.15">
      <c r="A43" s="11" t="s">
        <v>85</v>
      </c>
      <c r="B43" s="11">
        <v>6</v>
      </c>
      <c r="C43" s="11"/>
      <c r="D43" s="11"/>
      <c r="E43" s="11" t="s">
        <v>59</v>
      </c>
      <c r="F43" s="11" t="s">
        <v>131</v>
      </c>
      <c r="G43" s="11"/>
      <c r="H43" s="11"/>
      <c r="I43" s="11"/>
      <c r="J43" s="11"/>
      <c r="K43" s="11"/>
      <c r="L43" s="11" t="s">
        <v>132</v>
      </c>
      <c r="M43" s="11"/>
      <c r="N43" s="12" t="s">
        <v>133</v>
      </c>
      <c r="O43" s="12" t="s">
        <v>134</v>
      </c>
      <c r="P43" s="13" t="str">
        <f t="shared" si="0"/>
        <v>日本の歴史の中の亀山／古代の亀山／古代国家のあゆみと亀山／飛鳥時代の亀山／仏教の伝来</v>
      </c>
      <c r="Q43" s="14"/>
      <c r="R43" s="11"/>
    </row>
    <row r="44" spans="1:18" s="6" customFormat="1" ht="45.75" customHeight="1" x14ac:dyDescent="0.15">
      <c r="A44" s="300" t="s">
        <v>85</v>
      </c>
      <c r="B44" s="300">
        <v>6</v>
      </c>
      <c r="C44" s="300"/>
      <c r="D44" s="300"/>
      <c r="E44" s="300" t="s">
        <v>34</v>
      </c>
      <c r="F44" s="300"/>
      <c r="G44" s="300" t="s">
        <v>135</v>
      </c>
      <c r="H44" s="11" t="s">
        <v>122</v>
      </c>
      <c r="I44" s="11" t="s">
        <v>55</v>
      </c>
      <c r="J44" s="22" t="str">
        <f>HYPERLINK("http://kameyamarekihaku.jp/sisi/KoukoHP/archives/yamasita/01/01-01/gi.html?pf=Y0101-015.JPG&amp;pn=%E5%B1%B1%E4%B8%8B%E5%8F%A4%E5%A2%B3%E9%81%A0%E6%99%AF","山下古墳")</f>
        <v>山下古墳</v>
      </c>
      <c r="K44" s="11"/>
      <c r="L44" s="11" t="s">
        <v>136</v>
      </c>
      <c r="M44" s="22" t="str">
        <f>HYPERLINK("http://kameyamarekihaku.jp/sisi/KoukoHP/archives/yamasita/01/01-01/gi.html?pf=Y0101-015.JPG&amp;pn=%E5%B1%B1%E4%B8%8B%E5%8F%A4%E5%A2%B3%E9%81%A0%E6%99%AF","山下古墳")</f>
        <v>山下古墳</v>
      </c>
      <c r="N44" s="23" t="s">
        <v>137</v>
      </c>
      <c r="O44" s="23" t="s">
        <v>126</v>
      </c>
      <c r="P44" s="24" t="str">
        <f t="shared" si="0"/>
        <v>日本の歴史の中の亀山／古代の亀山／亀山のあけぼの／大王の時代と亀山の古墳／亀山の古墳／さまざまな古墳（１）</v>
      </c>
      <c r="Q44" s="47" t="str">
        <f>HYPERLINK("http:/kameyamarekihaku.jp/sisi/KoukoHP/iseki.html","市史考古編遺跡一覧N0.18")</f>
        <v>市史考古編遺跡一覧N0.18</v>
      </c>
      <c r="R44" s="11" t="s">
        <v>138</v>
      </c>
    </row>
    <row r="45" spans="1:18" s="6" customFormat="1" ht="20.25" customHeight="1" x14ac:dyDescent="0.15">
      <c r="A45" s="315"/>
      <c r="B45" s="315"/>
      <c r="C45" s="315"/>
      <c r="D45" s="315"/>
      <c r="E45" s="315"/>
      <c r="F45" s="315"/>
      <c r="G45" s="315"/>
      <c r="H45" s="15" t="s">
        <v>122</v>
      </c>
      <c r="I45" s="15" t="s">
        <v>55</v>
      </c>
      <c r="J45" s="16" t="str">
        <f>HYPERLINK("http://kameyamarekihaku.jp/sisi/KoukoHP/archives/ookaitokofu/01/01-02/gi.html?pf=OOKAKO0102-02-025.JPG&amp;pn=%E5%A4%A7%E5%9E%A3%E5%86%85%E5%8F%A4%E5%A2%B3%E5%A2%B3%E4%B8%98%E5%AE%8C%E6%8E%98%E7%8A%B6%E6%B3%81","大垣内古墳")</f>
        <v>大垣内古墳</v>
      </c>
      <c r="K45" s="15"/>
      <c r="L45" s="16" t="str">
        <f>HYPERLINK("http://kameyamarekihaku.jp/sisi/koukoHP/archives/ookaitokofu/01/01-01/gi.html?pf=OOKAKO0101-01-038.JPG&amp;pn=%E4%B8%BB%E4%BD%93%E9%83%A8%E6%A8%AA%E7%9F%A7%E6%9D%BF%E9%8B%B2%E7%95%99%E7%9F%AD%E7%94%B2%E5%87%BA%E5%9C%9F%E7%8A%B6%E6%B3%81","横矧板鋲留短甲")</f>
        <v>横矧板鋲留短甲</v>
      </c>
      <c r="M45" s="16" t="str">
        <f>HYPERLINK("http://kameyamarekihaku.jp/sisi/KoukoHP/archives/ookaitokofu/01/01-01/gi.html?pf=OOKAKO0101-01-023.JPG&amp;pn=%E5%B1%B1%E4%B8%8B%E6%A9%8B%E8%A6%AA%E6%9F%B1%E5%8F%A4%E4%BB%A3%E6%AD%A6%E4%BA%BA%E5%83%8F","古代武人像")</f>
        <v>古代武人像</v>
      </c>
      <c r="N45" s="310" t="s">
        <v>139</v>
      </c>
      <c r="O45" s="310" t="s">
        <v>140</v>
      </c>
      <c r="P45" s="311" t="str">
        <f t="shared" si="0"/>
        <v>日本の歴史の中の亀山／古代の亀山／亀山のあけぼの／大王の時代と亀山の古墳／中国朝鮮半島との交流と亀山の古墳／さまざまな古墳（２）</v>
      </c>
      <c r="Q45" s="48" t="str">
        <f>HYPERLINK("http:/kameyamarekihaku.jp/sisi/KoukoHP/iseki.html","市史考古編遺跡一覧No.22")</f>
        <v>市史考古編遺跡一覧No.22</v>
      </c>
      <c r="R45" s="298" t="s">
        <v>141</v>
      </c>
    </row>
    <row r="46" spans="1:18" s="6" customFormat="1" ht="32.25" customHeight="1" x14ac:dyDescent="0.15">
      <c r="A46" s="315"/>
      <c r="B46" s="315"/>
      <c r="C46" s="315"/>
      <c r="D46" s="315"/>
      <c r="E46" s="315"/>
      <c r="F46" s="315"/>
      <c r="G46" s="315"/>
      <c r="H46" s="26"/>
      <c r="I46" s="26"/>
      <c r="J46" s="27"/>
      <c r="K46" s="26"/>
      <c r="L46" s="27" t="str">
        <f>HYPERLINK("http://kameyamarekihaku.jp/sisi/KoukoHP/archives/ookaitokofu/01/01-01/gi.html?pf=OOKAKO0101-01-030.JPG&amp;pn=%E4%B8%BB%E4%BD%93%E9%83%A8%E8%8C%8E%E5%BC%8F%E9%89%84%E9%89%BE%E6%9F%84%E9%83%A8%E5%88%86%E9%87%8D%E5%9C%8F%E8%8F%B1%E5%BD%A2%E6%96%87","鉄鉾")</f>
        <v>鉄鉾</v>
      </c>
      <c r="M46" s="26"/>
      <c r="N46" s="317"/>
      <c r="O46" s="317" t="e">
        <v>#VALUE!</v>
      </c>
      <c r="P46" s="318" t="str">
        <f t="shared" si="0"/>
        <v/>
      </c>
      <c r="Q46" s="50" t="str">
        <f>HYPERLINK("http://kameyamarekihaku.jp/raikan_demae/140516_higasi_syo.html","東小6年出前授業実践例「大和朝廷と渡来人のかつやく」")</f>
        <v>東小6年出前授業実践例「大和朝廷と渡来人のかつやく」</v>
      </c>
      <c r="R46" s="316"/>
    </row>
    <row r="47" spans="1:18" s="6" customFormat="1" ht="28.5" customHeight="1" x14ac:dyDescent="0.15">
      <c r="A47" s="315"/>
      <c r="B47" s="315"/>
      <c r="C47" s="315"/>
      <c r="D47" s="315"/>
      <c r="E47" s="315"/>
      <c r="F47" s="315"/>
      <c r="G47" s="315"/>
      <c r="H47" s="26"/>
      <c r="I47" s="26"/>
      <c r="J47" s="27"/>
      <c r="K47" s="26"/>
      <c r="L47" s="26" t="s">
        <v>142</v>
      </c>
      <c r="M47" s="26"/>
      <c r="N47" s="317"/>
      <c r="O47" s="317" t="e">
        <v>#VALUE!</v>
      </c>
      <c r="P47" s="318" t="str">
        <f t="shared" si="0"/>
        <v/>
      </c>
      <c r="Q47" s="50" t="str">
        <f>HYPERLINK("http://kameyamarekihaku.jp/raikan_demae/140428_sirakawa_syo.html","白川小6年出前授業実践例「亀山の古代を探る」")</f>
        <v>白川小6年出前授業実践例「亀山の古代を探る」</v>
      </c>
      <c r="R47" s="316"/>
    </row>
    <row r="48" spans="1:18" s="6" customFormat="1" ht="30.75" customHeight="1" x14ac:dyDescent="0.15">
      <c r="A48" s="315"/>
      <c r="B48" s="315"/>
      <c r="C48" s="315"/>
      <c r="D48" s="315"/>
      <c r="E48" s="315"/>
      <c r="F48" s="315"/>
      <c r="G48" s="315"/>
      <c r="H48" s="26"/>
      <c r="I48" s="26"/>
      <c r="J48" s="27"/>
      <c r="K48" s="26"/>
      <c r="L48" s="51" t="str">
        <f>HYPERLINK("http://kameyamarekihaku.jp/yane_no_nai/unit_leaf/A-7.pdf","歴博貸出ユニットA－７")</f>
        <v>歴博貸出ユニットA－７</v>
      </c>
      <c r="M48" s="26"/>
      <c r="N48" s="29"/>
      <c r="O48" s="29" t="e">
        <v>#VALUE!</v>
      </c>
      <c r="P48" s="30" t="str">
        <f t="shared" si="0"/>
        <v/>
      </c>
      <c r="Q48" s="52" t="str">
        <f>HYPERLINK("http://kameyamarekihaku.jp/raikan_demae/130626_kanbe.html","神辺小6年出前授業実践例「神辺の歴史のさがし方」")</f>
        <v>神辺小6年出前授業実践例「神辺の歴史のさがし方」</v>
      </c>
      <c r="R48" s="9"/>
    </row>
    <row r="49" spans="1:18" s="6" customFormat="1" ht="36.75" customHeight="1" x14ac:dyDescent="0.15">
      <c r="A49" s="315"/>
      <c r="B49" s="315"/>
      <c r="C49" s="315"/>
      <c r="D49" s="315"/>
      <c r="E49" s="315"/>
      <c r="F49" s="315"/>
      <c r="G49" s="315"/>
      <c r="H49" s="15" t="s">
        <v>143</v>
      </c>
      <c r="I49" s="15" t="s">
        <v>129</v>
      </c>
      <c r="J49" s="321" t="str">
        <f>HYPERLINK("http://kameyamarekihaku.jp/sisi/KoukoHP/archives/idagawa-tyausu/06/06-01/gi.html?pf=IDT0601-05-004.jpg&amp;pn=%E4%BA%95%E7%94%B0%E5%B7%9D%E8%8C%B6%E8%87%BC%E5%B1%B1%E5%8F%A4%E5%A2%B3%E7%9F%B3%E5%AE%A4%E6%AD%A3%E9%9D%A2","井田川茶臼山古墳")</f>
        <v>井田川茶臼山古墳</v>
      </c>
      <c r="K49" s="15"/>
      <c r="L49" s="16" t="str">
        <f>HYPERLINK("http://kameyamarekihaku.jp/21theme/zone02/gi/gi.htm?pf=shasin1.JPG&amp;pn=%E4%BA%95%E7%94%B0%E5%B7%9D%E8%8C%B6%E8%87%BC%E5%B1%B1%E5%8F%A4%E5%A2%B3%E7%9F%B3%E5%AE%A4%E5%BE%A9%E5%85%83%E6%A8%A1%E5%9E%8B","井田川茶臼山古墳石室模型")</f>
        <v>井田川茶臼山古墳石室模型</v>
      </c>
      <c r="M49" s="16" t="str">
        <f>HYPERLINK("http://kameyamarekihaku.jp/21theme/zone02/gi/gi.htm?pf=shasin6.JPG&amp;pn=%E7%8F%BE%E5%9C%A8%E3%81%AE%E5%8F%A4%E5%A2%B3%E5%85%AC%E5%9C%92","古墳公園")</f>
        <v>古墳公園</v>
      </c>
      <c r="N49" s="310" t="s">
        <v>144</v>
      </c>
      <c r="O49" s="310" t="s">
        <v>145</v>
      </c>
      <c r="P49" s="311" t="str">
        <f t="shared" si="0"/>
        <v>日本の歴史の中の亀山／古代の亀山／亀山のあけぼの／大王の時代と亀山の古墳／亀山の古墳文化／銅鏡</v>
      </c>
      <c r="Q49" s="17" t="str">
        <f>HYPERLINK("http:/kameyamarekihaku.jp/sisi/KoukoHP/dai5sho.html","市史考古編第5章")</f>
        <v>市史考古編第5章</v>
      </c>
      <c r="R49" s="298" t="s">
        <v>146</v>
      </c>
    </row>
    <row r="50" spans="1:18" s="6" customFormat="1" ht="27.75" customHeight="1" x14ac:dyDescent="0.15">
      <c r="A50" s="315"/>
      <c r="B50" s="315"/>
      <c r="C50" s="315"/>
      <c r="D50" s="315"/>
      <c r="E50" s="315"/>
      <c r="F50" s="315"/>
      <c r="G50" s="315"/>
      <c r="H50" s="7"/>
      <c r="I50" s="7"/>
      <c r="J50" s="322"/>
      <c r="K50" s="7"/>
      <c r="L50" s="7"/>
      <c r="M50" s="7"/>
      <c r="N50" s="306"/>
      <c r="O50" s="306" t="e">
        <v>#VALUE!</v>
      </c>
      <c r="P50" s="308" t="str">
        <f t="shared" si="0"/>
        <v/>
      </c>
      <c r="Q50" s="21" t="str">
        <f>HYPERLINK("http:/kameyamarekihaku.jp/sisi/KoukoHP/iseki.html","市史考古編遺跡一覧No.20")</f>
        <v>市史考古編遺跡一覧No.20</v>
      </c>
      <c r="R50" s="299"/>
    </row>
    <row r="51" spans="1:18" s="6" customFormat="1" ht="15.75" customHeight="1" x14ac:dyDescent="0.15">
      <c r="A51" s="315"/>
      <c r="B51" s="315"/>
      <c r="C51" s="315"/>
      <c r="D51" s="315"/>
      <c r="E51" s="315"/>
      <c r="F51" s="315"/>
      <c r="G51" s="315"/>
      <c r="H51" s="15" t="s">
        <v>143</v>
      </c>
      <c r="I51" s="15" t="s">
        <v>147</v>
      </c>
      <c r="J51" s="16" t="str">
        <f>HYPERLINK("http://kameyamarekihaku.jp/21theme/zone02/gi/gi.htm?pf=zu3.JPG&amp;pn=%E3%80%80%E9%87%A3%E9%90%98%E5%B1%B1%E5%8F%A4%E5%A2%B3%E5%A2%B3%E4%B8%98%E6%B8%AC%E9%87%8F%E5%9B%B3","釣鐘山古墳")</f>
        <v>釣鐘山古墳</v>
      </c>
      <c r="K51" s="15"/>
      <c r="L51" s="16" t="str">
        <f>HYPERLINK("http://kameyamarekihaku.jp/21theme/zone02/gi/gi.htm?pf=shasin12.JPG&amp;pn=%E3%80%80%E9%87%A3%E9%90%98%E5%B1%B1%E5%8F%A4%E5%A2%B3%E7%9F%B3%E6%A3%BA","組合式石棺")</f>
        <v>組合式石棺</v>
      </c>
      <c r="M51" s="15"/>
      <c r="N51" s="19"/>
      <c r="O51" s="19" t="e">
        <v>#VALUE!</v>
      </c>
      <c r="P51" s="20" t="str">
        <f t="shared" si="0"/>
        <v/>
      </c>
      <c r="Q51" s="48" t="str">
        <f>HYPERLINK("http:/kameyamarekihaku.jp/sisi/KoukoHP/iseki.html","市史考古編遺跡一覧No.21")</f>
        <v>市史考古編遺跡一覧No.21</v>
      </c>
      <c r="R51" s="298" t="s">
        <v>148</v>
      </c>
    </row>
    <row r="52" spans="1:18" s="6" customFormat="1" ht="16.5" customHeight="1" x14ac:dyDescent="0.15">
      <c r="A52" s="315"/>
      <c r="B52" s="315"/>
      <c r="C52" s="315"/>
      <c r="D52" s="315"/>
      <c r="E52" s="315"/>
      <c r="F52" s="315"/>
      <c r="G52" s="315"/>
      <c r="H52" s="26"/>
      <c r="I52" s="26"/>
      <c r="J52" s="27"/>
      <c r="K52" s="26"/>
      <c r="L52" s="27" t="str">
        <f>HYPERLINK("http://kameyamarekihaku.jp/21theme/zone02/gi/gi.htm?pf=zu4.JPG&amp;pn=%E3%80%80%E9%87%A3%E9%90%98%E5%B1%B1%E5%8F%A4%E5%A2%B3%E5%87%BA%E5%9C%9F%E9%81%BA%E7%89%A9%E5%AE%9F%E6%B8%AC%E5%9B%B3","須恵器　鉄刀")</f>
        <v>須恵器　鉄刀</v>
      </c>
      <c r="M52" s="26"/>
      <c r="N52" s="19"/>
      <c r="O52" s="19" t="e">
        <v>#VALUE!</v>
      </c>
      <c r="P52" s="20" t="str">
        <f t="shared" si="0"/>
        <v/>
      </c>
      <c r="Q52" s="49"/>
      <c r="R52" s="316"/>
    </row>
    <row r="53" spans="1:18" s="6" customFormat="1" ht="26.25" customHeight="1" x14ac:dyDescent="0.15">
      <c r="A53" s="315"/>
      <c r="B53" s="315"/>
      <c r="C53" s="315"/>
      <c r="D53" s="315"/>
      <c r="E53" s="315"/>
      <c r="F53" s="315"/>
      <c r="G53" s="315"/>
      <c r="H53" s="7"/>
      <c r="I53" s="7"/>
      <c r="J53" s="18"/>
      <c r="K53" s="7"/>
      <c r="L53" s="7" t="s">
        <v>149</v>
      </c>
      <c r="M53" s="7"/>
      <c r="N53" s="53"/>
      <c r="O53" s="29" t="e">
        <v>#VALUE!</v>
      </c>
      <c r="P53" s="30" t="str">
        <f t="shared" si="0"/>
        <v/>
      </c>
      <c r="Q53" s="46"/>
      <c r="R53" s="299"/>
    </row>
    <row r="54" spans="1:18" s="6" customFormat="1" ht="64.5" customHeight="1" x14ac:dyDescent="0.15">
      <c r="A54" s="315"/>
      <c r="B54" s="315"/>
      <c r="C54" s="315"/>
      <c r="D54" s="315"/>
      <c r="E54" s="315"/>
      <c r="F54" s="315"/>
      <c r="G54" s="315"/>
      <c r="H54" s="11" t="s">
        <v>150</v>
      </c>
      <c r="I54" s="11" t="s">
        <v>151</v>
      </c>
      <c r="J54" s="22" t="str">
        <f>HYPERLINK("http://kameyamarekihaku.jp/sisi/KoukoHP/archives/ijiri/01/01-01/gi.html?pf=IJ0101-153.JPG&amp;pn=%E4%BA%95%E5%B0%BB%E5%8F%A4%E5%A2%B3%E7%8F%BE%E6%B3%81","井尻古墳")</f>
        <v>井尻古墳</v>
      </c>
      <c r="K54" s="11"/>
      <c r="L54" s="11" t="s">
        <v>152</v>
      </c>
      <c r="M54" s="22" t="str">
        <f>HYPERLINK("http://kameyamarekihaku.jp/21theme/zone02/gi/gi.htm?pf=shasin10.JPG&amp;pn=%E4%BA%95%E5%B0%BB%E5%8F%A4%E5%A2%B3%E7%A9%BA%E4%B8%AD%E5%86%99%E7%9C%9F","井尻古墳")</f>
        <v>井尻古墳</v>
      </c>
      <c r="N54" s="53" t="s">
        <v>153</v>
      </c>
      <c r="O54" s="29" t="s">
        <v>154</v>
      </c>
      <c r="P54" s="30" t="str">
        <f t="shared" si="0"/>
        <v>日本の歴史の中の亀山／古代の亀山／亀山のあけぼの／大王の時代と亀山の古墳／亀山の古墳文化／須恵器</v>
      </c>
      <c r="Q54" s="47" t="str">
        <f>HYPERLINK("http:/kameyamarekihaku.jp/sisi/KoukoHP/iseki.html","市史考古編遺跡一覧No.16")</f>
        <v>市史考古編遺跡一覧No.16</v>
      </c>
      <c r="R54" s="11" t="s">
        <v>155</v>
      </c>
    </row>
    <row r="55" spans="1:18" s="6" customFormat="1" ht="28.5" customHeight="1" x14ac:dyDescent="0.15">
      <c r="A55" s="315"/>
      <c r="B55" s="315"/>
      <c r="C55" s="315"/>
      <c r="D55" s="315"/>
      <c r="E55" s="315"/>
      <c r="F55" s="315"/>
      <c r="G55" s="315"/>
      <c r="H55" s="15" t="s">
        <v>156</v>
      </c>
      <c r="I55" s="15" t="s">
        <v>157</v>
      </c>
      <c r="J55" s="15" t="s">
        <v>158</v>
      </c>
      <c r="K55" s="15"/>
      <c r="L55" s="15" t="s">
        <v>159</v>
      </c>
      <c r="M55" s="15" t="s">
        <v>160</v>
      </c>
      <c r="N55" s="19"/>
      <c r="O55" s="19" t="e">
        <v>#VALUE!</v>
      </c>
      <c r="P55" s="20" t="str">
        <f t="shared" si="0"/>
        <v/>
      </c>
      <c r="Q55" s="48" t="str">
        <f>HYPERLINK("http:/kameyamarekihaku.jp/sisi/KoukoHP/iseki.html","市史考古編遺跡一覧No.27")</f>
        <v>市史考古編遺跡一覧No.27</v>
      </c>
      <c r="R55" s="298" t="s">
        <v>161</v>
      </c>
    </row>
    <row r="56" spans="1:18" s="6" customFormat="1" ht="35.25" customHeight="1" x14ac:dyDescent="0.15">
      <c r="A56" s="302"/>
      <c r="B56" s="302"/>
      <c r="C56" s="302"/>
      <c r="D56" s="302"/>
      <c r="E56" s="302"/>
      <c r="F56" s="302"/>
      <c r="G56" s="302"/>
      <c r="H56" s="7" t="s">
        <v>162</v>
      </c>
      <c r="I56" s="7" t="s">
        <v>163</v>
      </c>
      <c r="J56" s="18" t="str">
        <f>HYPERLINK("http://kameyamarekihaku.jp/sisi/KoukoHP/archives/syoutiura/01/01-01/gi.html?pf=SETI01-01.JPG&amp;pn=%E6%AD%A3%E7%9F%A5%E6%B5%A6%E5%8F%A4%E5%A2%B3%EF%BC%91%E5%8F%B7%E5%A2%B3%E7%9F%B3%E5%AE%A4%EF%BC%88%E6%9D%B1%E3%81%8B%E3%82%89%EF%BC%89","正知浦古墳群")</f>
        <v>正知浦古墳群</v>
      </c>
      <c r="K56" s="7"/>
      <c r="L56" s="7"/>
      <c r="M56" s="7"/>
      <c r="N56" s="29"/>
      <c r="O56" s="29" t="e">
        <v>#VALUE!</v>
      </c>
      <c r="P56" s="30" t="str">
        <f t="shared" si="0"/>
        <v/>
      </c>
      <c r="Q56" s="46" t="str">
        <f>HYPERLINK("http:/kameyamarekihaku.jp/sisi/KoukoHP/iseki.html","市史考古編遺跡一覧No.29")</f>
        <v>市史考古編遺跡一覧No.29</v>
      </c>
      <c r="R56" s="299"/>
    </row>
    <row r="57" spans="1:18" s="6" customFormat="1" ht="64.5" customHeight="1" x14ac:dyDescent="0.15">
      <c r="A57" s="15" t="s">
        <v>85</v>
      </c>
      <c r="B57" s="15">
        <v>6</v>
      </c>
      <c r="C57" s="15"/>
      <c r="D57" s="15"/>
      <c r="E57" s="15" t="s">
        <v>20</v>
      </c>
      <c r="F57" s="15" t="s">
        <v>164</v>
      </c>
      <c r="G57" s="15"/>
      <c r="H57" s="15" t="s">
        <v>156</v>
      </c>
      <c r="I57" s="15" t="s">
        <v>49</v>
      </c>
      <c r="J57" s="16" t="str">
        <f>HYPERLINK("http://kameyamarekihaku.jp/sisi/KoukoHP/archives/jizouso/01/01-01/gi.html?pf=JZOSO0101-01-037.JPG&amp;pn=%E5%9C%B0%E8%94%B5%E5%83%A7%E9%81%BA%E8%B7%A1%E8%AA%BF%E6%9F%BB%E5%9C%B0%E9%81%A0%E6%99%AF","地蔵僧遺跡")</f>
        <v>地蔵僧遺跡</v>
      </c>
      <c r="K57" s="15"/>
      <c r="L57" s="15" t="s">
        <v>165</v>
      </c>
      <c r="M57" s="15"/>
      <c r="N57" s="19" t="s">
        <v>166</v>
      </c>
      <c r="O57" s="19" t="s">
        <v>167</v>
      </c>
      <c r="P57" s="20" t="str">
        <f t="shared" si="0"/>
        <v>日本の歴史の中の亀山／古代の亀山／亀山のあけぼの／大王の時代と亀山の古墳／古墳時代のむら／さまざまな古墳（３）</v>
      </c>
      <c r="Q57" s="21" t="str">
        <f>HYPERLINK("http:/kameyamarekihaku.jp/sisi/KoukoHP/iseki.html","市史考古編遺跡一覧N0.6")</f>
        <v>市史考古編遺跡一覧N0.6</v>
      </c>
      <c r="R57" s="15" t="s">
        <v>53</v>
      </c>
    </row>
    <row r="58" spans="1:18" s="6" customFormat="1" ht="41.25" customHeight="1" x14ac:dyDescent="0.15">
      <c r="A58" s="7"/>
      <c r="B58" s="7"/>
      <c r="C58" s="7"/>
      <c r="D58" s="7"/>
      <c r="E58" s="7"/>
      <c r="F58" s="7"/>
      <c r="G58" s="7"/>
      <c r="H58" s="7"/>
      <c r="I58" s="7"/>
      <c r="J58" s="18"/>
      <c r="K58" s="7"/>
      <c r="L58" s="7"/>
      <c r="M58" s="7"/>
      <c r="N58" s="29" t="s">
        <v>168</v>
      </c>
      <c r="O58" s="29" t="s">
        <v>154</v>
      </c>
      <c r="P58" s="30" t="str">
        <f t="shared" si="0"/>
        <v>日本の歴史の中の亀山／古代の亀山／亀山のあけぼの／大王の時代と亀山の古墳／亀山の古墳文化／須恵器</v>
      </c>
      <c r="Q58" s="10"/>
      <c r="R58" s="7"/>
    </row>
    <row r="59" spans="1:18" s="6" customFormat="1" ht="32.25" customHeight="1" x14ac:dyDescent="0.15">
      <c r="A59" s="11" t="s">
        <v>85</v>
      </c>
      <c r="B59" s="11">
        <v>6</v>
      </c>
      <c r="C59" s="11"/>
      <c r="D59" s="11"/>
      <c r="E59" s="11" t="s">
        <v>20</v>
      </c>
      <c r="F59" s="11" t="s">
        <v>169</v>
      </c>
      <c r="G59" s="11"/>
      <c r="H59" s="11"/>
      <c r="I59" s="11"/>
      <c r="J59" s="11"/>
      <c r="K59" s="11"/>
      <c r="L59" s="11"/>
      <c r="M59" s="11"/>
      <c r="N59" s="12"/>
      <c r="O59" s="12" t="e">
        <v>#VALUE!</v>
      </c>
      <c r="P59" s="13" t="str">
        <f t="shared" si="0"/>
        <v/>
      </c>
      <c r="Q59" s="14"/>
      <c r="R59" s="11"/>
    </row>
    <row r="60" spans="1:18" s="6" customFormat="1" ht="36" customHeight="1" x14ac:dyDescent="0.15">
      <c r="A60" s="11" t="s">
        <v>85</v>
      </c>
      <c r="B60" s="11">
        <v>6</v>
      </c>
      <c r="C60" s="11"/>
      <c r="D60" s="11">
        <v>593</v>
      </c>
      <c r="E60" s="11" t="s">
        <v>20</v>
      </c>
      <c r="F60" s="11" t="s">
        <v>170</v>
      </c>
      <c r="G60" s="11"/>
      <c r="H60" s="11"/>
      <c r="I60" s="11"/>
      <c r="J60" s="11"/>
      <c r="K60" s="11"/>
      <c r="L60" s="11" t="s">
        <v>171</v>
      </c>
      <c r="M60" s="11"/>
      <c r="N60" s="12" t="s">
        <v>172</v>
      </c>
      <c r="O60" s="12" t="s">
        <v>173</v>
      </c>
      <c r="P60" s="13" t="str">
        <f t="shared" si="0"/>
        <v>日本の歴史の中の亀山／古代の亀山／古代国家のあゆみと亀山</v>
      </c>
      <c r="Q60" s="14"/>
      <c r="R60" s="11"/>
    </row>
    <row r="61" spans="1:18" s="6" customFormat="1" x14ac:dyDescent="0.15">
      <c r="A61" s="11" t="s">
        <v>85</v>
      </c>
      <c r="B61" s="11">
        <v>7</v>
      </c>
      <c r="C61" s="11"/>
      <c r="D61" s="11">
        <v>604</v>
      </c>
      <c r="E61" s="11" t="s">
        <v>20</v>
      </c>
      <c r="F61" s="11" t="s">
        <v>174</v>
      </c>
      <c r="G61" s="11"/>
      <c r="H61" s="11"/>
      <c r="I61" s="11"/>
      <c r="J61" s="11"/>
      <c r="K61" s="11"/>
      <c r="L61" s="11" t="s">
        <v>171</v>
      </c>
      <c r="M61" s="11"/>
      <c r="N61" s="12"/>
      <c r="O61" s="12" t="e">
        <v>#VALUE!</v>
      </c>
      <c r="P61" s="13" t="str">
        <f t="shared" si="0"/>
        <v/>
      </c>
      <c r="Q61" s="14"/>
      <c r="R61" s="11"/>
    </row>
    <row r="62" spans="1:18" s="6" customFormat="1" x14ac:dyDescent="0.15">
      <c r="A62" s="11" t="s">
        <v>85</v>
      </c>
      <c r="B62" s="11">
        <v>7</v>
      </c>
      <c r="C62" s="11"/>
      <c r="D62" s="11">
        <v>607</v>
      </c>
      <c r="E62" s="11" t="s">
        <v>59</v>
      </c>
      <c r="F62" s="11" t="s">
        <v>175</v>
      </c>
      <c r="G62" s="11"/>
      <c r="H62" s="11"/>
      <c r="I62" s="11"/>
      <c r="J62" s="11"/>
      <c r="K62" s="11"/>
      <c r="L62" s="11"/>
      <c r="M62" s="11"/>
      <c r="N62" s="12"/>
      <c r="O62" s="12" t="e">
        <v>#VALUE!</v>
      </c>
      <c r="P62" s="13" t="str">
        <f t="shared" si="0"/>
        <v/>
      </c>
      <c r="Q62" s="14"/>
      <c r="R62" s="11"/>
    </row>
    <row r="63" spans="1:18" s="6" customFormat="1" x14ac:dyDescent="0.15">
      <c r="A63" s="11" t="s">
        <v>176</v>
      </c>
      <c r="B63" s="11">
        <v>7</v>
      </c>
      <c r="C63" s="11"/>
      <c r="D63" s="11">
        <v>607</v>
      </c>
      <c r="E63" s="11" t="s">
        <v>34</v>
      </c>
      <c r="F63" s="11" t="s">
        <v>177</v>
      </c>
      <c r="G63" s="11"/>
      <c r="H63" s="11"/>
      <c r="I63" s="11"/>
      <c r="J63" s="11"/>
      <c r="K63" s="11"/>
      <c r="L63" s="11"/>
      <c r="M63" s="11"/>
      <c r="N63" s="12"/>
      <c r="O63" s="12" t="e">
        <v>#VALUE!</v>
      </c>
      <c r="P63" s="13" t="str">
        <f t="shared" si="0"/>
        <v/>
      </c>
      <c r="Q63" s="14"/>
      <c r="R63" s="11"/>
    </row>
    <row r="64" spans="1:18" s="6" customFormat="1" x14ac:dyDescent="0.15">
      <c r="A64" s="11" t="s">
        <v>176</v>
      </c>
      <c r="B64" s="11">
        <v>7</v>
      </c>
      <c r="C64" s="11"/>
      <c r="D64" s="11">
        <v>630</v>
      </c>
      <c r="E64" s="11" t="s">
        <v>59</v>
      </c>
      <c r="F64" s="11" t="s">
        <v>178</v>
      </c>
      <c r="G64" s="11"/>
      <c r="H64" s="11"/>
      <c r="I64" s="11"/>
      <c r="J64" s="11"/>
      <c r="K64" s="11"/>
      <c r="L64" s="11" t="s">
        <v>171</v>
      </c>
      <c r="M64" s="11"/>
      <c r="N64" s="12"/>
      <c r="O64" s="12" t="e">
        <v>#VALUE!</v>
      </c>
      <c r="P64" s="13" t="str">
        <f t="shared" si="0"/>
        <v/>
      </c>
      <c r="Q64" s="14"/>
      <c r="R64" s="11"/>
    </row>
    <row r="65" spans="1:18" s="6" customFormat="1" ht="39.4" customHeight="1" x14ac:dyDescent="0.15">
      <c r="A65" s="11" t="s">
        <v>176</v>
      </c>
      <c r="B65" s="11">
        <v>7</v>
      </c>
      <c r="C65" s="11"/>
      <c r="D65" s="11"/>
      <c r="E65" s="11" t="s">
        <v>59</v>
      </c>
      <c r="F65" s="11" t="s">
        <v>179</v>
      </c>
      <c r="G65" s="11"/>
      <c r="H65" s="11"/>
      <c r="I65" s="11"/>
      <c r="J65" s="11"/>
      <c r="K65" s="11"/>
      <c r="L65" s="11"/>
      <c r="M65" s="11"/>
      <c r="N65" s="12"/>
      <c r="O65" s="12" t="e">
        <v>#VALUE!</v>
      </c>
      <c r="P65" s="13" t="str">
        <f t="shared" si="0"/>
        <v/>
      </c>
      <c r="Q65" s="14"/>
      <c r="R65" s="11"/>
    </row>
    <row r="66" spans="1:18" s="6" customFormat="1" ht="27.75" customHeight="1" x14ac:dyDescent="0.15">
      <c r="A66" s="11" t="s">
        <v>176</v>
      </c>
      <c r="B66" s="11">
        <v>7</v>
      </c>
      <c r="C66" s="11" t="s">
        <v>180</v>
      </c>
      <c r="D66" s="11">
        <v>645</v>
      </c>
      <c r="E66" s="11" t="s">
        <v>20</v>
      </c>
      <c r="F66" s="11" t="s">
        <v>181</v>
      </c>
      <c r="G66" s="11"/>
      <c r="H66" s="11"/>
      <c r="I66" s="11"/>
      <c r="J66" s="11"/>
      <c r="K66" s="11"/>
      <c r="L66" s="11" t="s">
        <v>171</v>
      </c>
      <c r="M66" s="11"/>
      <c r="N66" s="19"/>
      <c r="O66" s="19" t="e">
        <v>#VALUE!</v>
      </c>
      <c r="P66" s="20" t="str">
        <f t="shared" ref="P66:P130" si="1">IFERROR(HYPERLINK(O66,N66),"")</f>
        <v/>
      </c>
      <c r="Q66" s="21" t="str">
        <f>HYPERLINK("http:/kameyamarekihaku.jp/sisi/tuusiHP_next/tuusi-index.html#kochuusei0302","市史通史編 原始・古代・中世第3章第2節第2項")</f>
        <v>市史通史編 原始・古代・中世第3章第2節第2項</v>
      </c>
      <c r="R66" s="11" t="s">
        <v>182</v>
      </c>
    </row>
    <row r="67" spans="1:18" s="6" customFormat="1" x14ac:dyDescent="0.15">
      <c r="A67" s="11" t="s">
        <v>176</v>
      </c>
      <c r="B67" s="11">
        <v>7</v>
      </c>
      <c r="C67" s="11"/>
      <c r="D67" s="11">
        <v>663</v>
      </c>
      <c r="E67" s="11" t="s">
        <v>59</v>
      </c>
      <c r="F67" s="11" t="s">
        <v>183</v>
      </c>
      <c r="G67" s="11"/>
      <c r="H67" s="11"/>
      <c r="I67" s="11"/>
      <c r="J67" s="11"/>
      <c r="K67" s="11"/>
      <c r="L67" s="11"/>
      <c r="M67" s="11"/>
      <c r="N67" s="12"/>
      <c r="O67" s="12" t="e">
        <v>#VALUE!</v>
      </c>
      <c r="P67" s="13" t="str">
        <f t="shared" si="1"/>
        <v/>
      </c>
      <c r="Q67" s="14"/>
      <c r="R67" s="11"/>
    </row>
    <row r="68" spans="1:18" s="6" customFormat="1" ht="17.25" customHeight="1" x14ac:dyDescent="0.15">
      <c r="A68" s="15" t="s">
        <v>176</v>
      </c>
      <c r="B68" s="15">
        <v>7</v>
      </c>
      <c r="C68" s="15"/>
      <c r="D68" s="15">
        <v>672</v>
      </c>
      <c r="E68" s="15" t="s">
        <v>20</v>
      </c>
      <c r="F68" s="15" t="s">
        <v>184</v>
      </c>
      <c r="G68" s="298" t="s">
        <v>185</v>
      </c>
      <c r="H68" s="15" t="s">
        <v>186</v>
      </c>
      <c r="I68" s="15" t="s">
        <v>187</v>
      </c>
      <c r="J68" s="16" t="str">
        <f>HYPERLINK("http://kameyamarekihaku.jp/sisi/koukoHP/gi/gi.htm?pf=zu7-24.jpg&amp;pn=%E3%80%80%E5%A3%AC%E7%94%B3%E3%81%AE%E4%B9%B1%E8%A1%8C%E8%BB%8D%E5%9B%B3","大山越え")</f>
        <v>大山越え</v>
      </c>
      <c r="K68" s="37" t="s">
        <v>188</v>
      </c>
      <c r="L68" s="15" t="s">
        <v>171</v>
      </c>
      <c r="M68" s="15" t="s">
        <v>189</v>
      </c>
      <c r="N68" s="42" t="s">
        <v>190</v>
      </c>
      <c r="O68" s="19" t="s">
        <v>105</v>
      </c>
      <c r="P68" s="20" t="str">
        <f t="shared" si="1"/>
        <v>古典に出てくる亀山／旅</v>
      </c>
      <c r="Q68" s="16" t="str">
        <f>HYPERLINK("http:/kameyamarekihaku.jp/sisi/tuusiHP_next/kochuusei/image/03/gi.htm?pf=1101zu032.JPG&amp;?pn=%E5%A4%A7%E6%B5%B7%E4%BA%BA%E7%9A%87%E5%AD%90%E3%81%AE%E7%A7%BB%E5%8B%95%E7%B5%8C%E8%B7%AF","大海人皇子の移動経路")</f>
        <v>大海人皇子の移動経路</v>
      </c>
      <c r="R68" s="15" t="s">
        <v>191</v>
      </c>
    </row>
    <row r="69" spans="1:18" s="6" customFormat="1" ht="18" customHeight="1" x14ac:dyDescent="0.15">
      <c r="A69" s="26"/>
      <c r="B69" s="26"/>
      <c r="C69" s="26"/>
      <c r="D69" s="26"/>
      <c r="E69" s="26"/>
      <c r="F69" s="26"/>
      <c r="G69" s="316"/>
      <c r="H69" s="26"/>
      <c r="I69" s="26"/>
      <c r="J69" s="27"/>
      <c r="K69" s="39"/>
      <c r="L69" s="26"/>
      <c r="M69" s="26"/>
      <c r="N69" s="42" t="s">
        <v>192</v>
      </c>
      <c r="O69" s="19" t="s">
        <v>193</v>
      </c>
      <c r="P69" s="20" t="str">
        <f t="shared" si="1"/>
        <v>古典に出てくる亀山／物語／古代の話</v>
      </c>
      <c r="Q69" s="27"/>
      <c r="R69" s="26"/>
    </row>
    <row r="70" spans="1:18" s="6" customFormat="1" ht="18" customHeight="1" x14ac:dyDescent="0.15">
      <c r="A70" s="26"/>
      <c r="B70" s="26"/>
      <c r="C70" s="26"/>
      <c r="D70" s="26"/>
      <c r="E70" s="26"/>
      <c r="F70" s="26"/>
      <c r="G70" s="26"/>
      <c r="H70" s="26"/>
      <c r="I70" s="26"/>
      <c r="J70" s="27"/>
      <c r="K70" s="39"/>
      <c r="L70" s="26"/>
      <c r="M70" s="26"/>
      <c r="N70" s="42" t="s">
        <v>194</v>
      </c>
      <c r="O70" s="19" t="s">
        <v>195</v>
      </c>
      <c r="P70" s="20" t="str">
        <f t="shared" si="1"/>
        <v>古典に出てくる亀山／物語／戦いの話</v>
      </c>
      <c r="Q70" s="27"/>
      <c r="R70" s="26"/>
    </row>
    <row r="71" spans="1:18" s="6" customFormat="1" ht="50.25" customHeight="1" x14ac:dyDescent="0.15">
      <c r="A71" s="26"/>
      <c r="B71" s="26"/>
      <c r="C71" s="26"/>
      <c r="D71" s="26"/>
      <c r="E71" s="26"/>
      <c r="F71" s="26"/>
      <c r="G71" s="26"/>
      <c r="H71" s="26"/>
      <c r="I71" s="26"/>
      <c r="J71" s="27"/>
      <c r="K71" s="39"/>
      <c r="L71" s="26"/>
      <c r="M71" s="26"/>
      <c r="N71" s="42" t="s">
        <v>196</v>
      </c>
      <c r="O71" s="19" t="s">
        <v>197</v>
      </c>
      <c r="P71" s="20" t="str">
        <f t="shared" si="1"/>
        <v>日本の歴史の中の亀山／古代の亀山／古代国家のあゆみと亀山／飛鳥時代の亀山／壬申の乱と亀山</v>
      </c>
      <c r="Q71" s="27"/>
      <c r="R71" s="26"/>
    </row>
    <row r="72" spans="1:18" s="6" customFormat="1" ht="29.25" customHeight="1" x14ac:dyDescent="0.15">
      <c r="A72" s="15" t="s">
        <v>176</v>
      </c>
      <c r="B72" s="15">
        <v>7</v>
      </c>
      <c r="C72" s="15"/>
      <c r="D72" s="15">
        <v>672</v>
      </c>
      <c r="E72" s="15" t="s">
        <v>20</v>
      </c>
      <c r="F72" s="15"/>
      <c r="G72" s="298" t="s">
        <v>198</v>
      </c>
      <c r="H72" s="15" t="s">
        <v>199</v>
      </c>
      <c r="I72" s="15" t="s">
        <v>200</v>
      </c>
      <c r="J72" s="37" t="s">
        <v>201</v>
      </c>
      <c r="K72" s="54" t="s">
        <v>202</v>
      </c>
      <c r="L72" s="15" t="s">
        <v>171</v>
      </c>
      <c r="M72" s="17" t="str">
        <f>HYPERLINK("http://kameyamarekihaku.jp/sisi/koukoHP/archives/suzukaseki1/01/01-07/gi.html?pf=SKS10107-07-037.jpg&amp;pn=%E9%88%B4%E9%B9%BF%E9%96%A2%E8%B7%A1%E7%AC%AC%E4%B8%80%E6%AC%A1%E7%99%BA%E6%8E%98%E8%AA%BF%E6%9F%BB%0A","鈴鹿関西城壁跡")</f>
        <v>鈴鹿関西城壁跡</v>
      </c>
      <c r="N72" s="310" t="s">
        <v>203</v>
      </c>
      <c r="O72" s="310" t="s">
        <v>197</v>
      </c>
      <c r="P72" s="311" t="str">
        <f t="shared" si="1"/>
        <v>日本の歴史の中の亀山／古代の亀山／古代国家のあゆみと亀山／飛鳥時代の亀山／壬申の乱と亀山</v>
      </c>
      <c r="Q72" s="17" t="str">
        <f>HYPERLINK("http:/kameyamarekihaku.jp/suzukanoseki/shousai.html","過去の常設展示～鈴鹿関を探る")</f>
        <v>過去の常設展示～鈴鹿関を探る</v>
      </c>
      <c r="R72" s="298" t="s">
        <v>204</v>
      </c>
    </row>
    <row r="73" spans="1:18" s="6" customFormat="1" ht="29.25" customHeight="1" x14ac:dyDescent="0.15">
      <c r="A73" s="26"/>
      <c r="B73" s="26"/>
      <c r="C73" s="26"/>
      <c r="D73" s="26"/>
      <c r="E73" s="26"/>
      <c r="F73" s="26"/>
      <c r="G73" s="316"/>
      <c r="H73" s="26"/>
      <c r="I73" s="26"/>
      <c r="J73" s="39"/>
      <c r="K73" s="55"/>
      <c r="L73" s="26"/>
      <c r="M73" s="26"/>
      <c r="N73" s="317"/>
      <c r="O73" s="317" t="e">
        <v>#VALUE!</v>
      </c>
      <c r="P73" s="318" t="str">
        <f t="shared" si="1"/>
        <v/>
      </c>
      <c r="Q73" s="21" t="str">
        <f>HYPERLINK("http://www.kameyamarekihaku.jp/sisi/seckam3/Data5/izanagi_01.html","市史考古分野（各コンテンツ）「歴史へのいざない　鈴鹿関」")</f>
        <v>市史考古分野（各コンテンツ）「歴史へのいざない　鈴鹿関」</v>
      </c>
      <c r="R73" s="316"/>
    </row>
    <row r="74" spans="1:18" s="6" customFormat="1" ht="15" customHeight="1" x14ac:dyDescent="0.15">
      <c r="A74" s="26"/>
      <c r="B74" s="26"/>
      <c r="C74" s="26"/>
      <c r="D74" s="26"/>
      <c r="E74" s="26"/>
      <c r="F74" s="26"/>
      <c r="G74" s="316"/>
      <c r="H74" s="26"/>
      <c r="I74" s="26"/>
      <c r="J74" s="39"/>
      <c r="K74" s="56"/>
      <c r="L74" s="26"/>
      <c r="M74" s="21" t="str">
        <f>HYPERLINK("http:/kameyamarekihaku.jp/sisi/tuusiHP_next/kochuusei/image/03/gi.htm?pf=1103sh060.JPG&amp;?pn=%E8%BF%B9%E5%A4%AA%E5%B7%9D%E5%BE%A1%E9%81%A5%E6%8B%9D%E6%89%80%E8%B7%A1%E7%A2%91","天武天皇迹太川御遥拝所跡碑")</f>
        <v>天武天皇迹太川御遥拝所跡碑</v>
      </c>
      <c r="N74" s="19"/>
      <c r="O74" s="19" t="e">
        <v>#VALUE!</v>
      </c>
      <c r="P74" s="20" t="str">
        <f t="shared" si="1"/>
        <v/>
      </c>
      <c r="Q74" s="21" t="str">
        <f>HYPERLINK("http:/kameyamarekihaku.jp/sisi/KoukoHP/dai7sho.html","市史考古編第7章")</f>
        <v>市史考古編第7章</v>
      </c>
      <c r="R74" s="316"/>
    </row>
    <row r="75" spans="1:18" s="6" customFormat="1" ht="27.75" customHeight="1" x14ac:dyDescent="0.15">
      <c r="A75" s="26"/>
      <c r="B75" s="26"/>
      <c r="C75" s="26"/>
      <c r="D75" s="26"/>
      <c r="E75" s="26"/>
      <c r="F75" s="26"/>
      <c r="G75" s="316"/>
      <c r="H75" s="26"/>
      <c r="I75" s="26"/>
      <c r="J75" s="39"/>
      <c r="K75" s="56"/>
      <c r="L75" s="27" t="str">
        <f>HYPERLINK("http://kameyamarekihaku.jp/sisi/tuusiHP_next/kochuusei/image/04/gi.htm?pf=1151sh081-1.JPG&amp;?pn=%E5%9F%8E%E5%B1%B1%E3%81%8B%E3%82%89%E9%88%B4%E9%B9%BF%E9%96%A2%E4%B8%AD%E5%BF%83%E9%83%A8%E3%82%92%E6%9C%9B%E3%82%80","鈴鹿関３D復原図")</f>
        <v>鈴鹿関３D復原図</v>
      </c>
      <c r="M75" s="26"/>
      <c r="N75" s="317" t="s">
        <v>205</v>
      </c>
      <c r="O75" s="317" t="s">
        <v>206</v>
      </c>
      <c r="P75" s="318" t="str">
        <f t="shared" si="1"/>
        <v>亀山のいいとこさがし／景色のよいところや歴史を知る手掛かりとなるもの／歴史上の場所／鈴鹿関跡（２）</v>
      </c>
      <c r="Q75" s="21" t="str">
        <f>HYPERLINK("http:/kameyamarekihaku.jp/sisi/tuusiHP_next/tuusi-index.html#kochuusei0302","市史通史編 原始・古代・中世第3章第2節")</f>
        <v>市史通史編 原始・古代・中世第3章第2節</v>
      </c>
      <c r="R75" s="316"/>
    </row>
    <row r="76" spans="1:18" s="6" customFormat="1" ht="20.25" customHeight="1" x14ac:dyDescent="0.15">
      <c r="A76" s="7"/>
      <c r="B76" s="7"/>
      <c r="C76" s="7"/>
      <c r="D76" s="7"/>
      <c r="E76" s="7"/>
      <c r="F76" s="7"/>
      <c r="G76" s="299"/>
      <c r="H76" s="7"/>
      <c r="I76" s="7"/>
      <c r="J76" s="18"/>
      <c r="K76" s="57"/>
      <c r="L76" s="18" t="str">
        <f>HYPERLINK("http://kameyamarekihaku.jp/suzukanoseki/gi/gi.htm?pf=sha5.jpg&amp;pn=%E3%80%80%E5%8F%A4%E5%8E%A9%E9%81%BA%E8%B7%A1%E5%87%BA%E5%9C%9F%E8%BB%92%E7%93%A6","瓦（古厩遺跡出土軒瓦）")</f>
        <v>瓦（古厩遺跡出土軒瓦）</v>
      </c>
      <c r="M76" s="58"/>
      <c r="N76" s="306"/>
      <c r="O76" s="306" t="e">
        <v>#VALUE!</v>
      </c>
      <c r="P76" s="308" t="str">
        <f t="shared" si="1"/>
        <v/>
      </c>
      <c r="Q76" s="10" t="str">
        <f>HYPERLINK("http:/kameyamarekihaku.jp/sisi/KoukoHP/iseki.html","市史考古編遺跡一覧N0.34")</f>
        <v>市史考古編遺跡一覧N0.34</v>
      </c>
      <c r="R76" s="299"/>
    </row>
    <row r="77" spans="1:18" s="6" customFormat="1" ht="21.75" customHeight="1" x14ac:dyDescent="0.15">
      <c r="A77" s="15" t="s">
        <v>176</v>
      </c>
      <c r="B77" s="15">
        <v>7</v>
      </c>
      <c r="C77" s="15"/>
      <c r="D77" s="15">
        <v>672</v>
      </c>
      <c r="E77" s="15" t="s">
        <v>20</v>
      </c>
      <c r="F77" s="15"/>
      <c r="G77" s="298" t="s">
        <v>207</v>
      </c>
      <c r="H77" s="15" t="s">
        <v>156</v>
      </c>
      <c r="I77" s="15" t="s">
        <v>208</v>
      </c>
      <c r="J77" s="15" t="s">
        <v>209</v>
      </c>
      <c r="K77" s="298" t="s">
        <v>210</v>
      </c>
      <c r="L77" s="15" t="s">
        <v>211</v>
      </c>
      <c r="M77" s="298" t="s">
        <v>212</v>
      </c>
      <c r="N77" s="32" t="s">
        <v>213</v>
      </c>
      <c r="O77" s="32" t="s">
        <v>105</v>
      </c>
      <c r="P77" s="33" t="str">
        <f t="shared" si="1"/>
        <v>古典に出てくる亀山／旅</v>
      </c>
      <c r="Q77" s="48" t="str">
        <f>HYPERLINK("http:/kameyamarekihaku.jp/sisi/tuusiHP_next/kochuusei/image/03/gi.htm?pf=1103sh060.JPG&amp;?pn=%E5%A4%A9%E6%AD%A6%E5%A4%A9%E7%9A%87%E8%BF%B9%E5%A4%AA%E5%B7%9D%E5%BE%A1%E9%81%A5%E6%8B%9D%E6%89%80%E8%B7%A1%E7%A2%91","天武天皇迹太川御遥拝所跡碑")</f>
        <v>天武天皇迹太川御遥拝所跡碑</v>
      </c>
      <c r="R77" s="298" t="s">
        <v>214</v>
      </c>
    </row>
    <row r="78" spans="1:18" s="6" customFormat="1" ht="55.5" customHeight="1" x14ac:dyDescent="0.15">
      <c r="A78" s="7"/>
      <c r="B78" s="7"/>
      <c r="C78" s="7"/>
      <c r="D78" s="7"/>
      <c r="E78" s="7"/>
      <c r="F78" s="7"/>
      <c r="G78" s="299"/>
      <c r="H78" s="7"/>
      <c r="I78" s="7"/>
      <c r="J78" s="7"/>
      <c r="K78" s="299"/>
      <c r="L78" s="7"/>
      <c r="M78" s="299"/>
      <c r="N78" s="29" t="s">
        <v>215</v>
      </c>
      <c r="O78" s="29" t="s">
        <v>197</v>
      </c>
      <c r="P78" s="30" t="str">
        <f t="shared" si="1"/>
        <v>日本の歴史の中の亀山／古代の亀山／古代国家のあゆみと亀山／飛鳥時代の亀山／壬申の乱と亀山</v>
      </c>
      <c r="Q78" s="46"/>
      <c r="R78" s="299"/>
    </row>
    <row r="79" spans="1:18" s="6" customFormat="1" ht="28.5" customHeight="1" x14ac:dyDescent="0.15">
      <c r="A79" s="26" t="s">
        <v>176</v>
      </c>
      <c r="B79" s="26">
        <v>7</v>
      </c>
      <c r="C79" s="26"/>
      <c r="D79" s="26">
        <v>672</v>
      </c>
      <c r="E79" s="26" t="s">
        <v>20</v>
      </c>
      <c r="F79" s="59"/>
      <c r="G79" s="59" t="s">
        <v>216</v>
      </c>
      <c r="H79" s="26" t="s">
        <v>199</v>
      </c>
      <c r="I79" s="26" t="s">
        <v>200</v>
      </c>
      <c r="J79" s="39" t="s">
        <v>201</v>
      </c>
      <c r="K79" s="59" t="s">
        <v>217</v>
      </c>
      <c r="L79" s="26" t="s">
        <v>171</v>
      </c>
      <c r="M79" s="21" t="str">
        <f>HYPERLINK("http://kameyamarekihaku.jp/sisi/koukoHP/archives/suzukaseki1/01/01-07/gi.html?pf=SKS10107-07-037.jpg&amp;pn=%E9%88%B4%E9%B9%BF%E9%96%A2%E8%B7%A1%E7%AC%AC%E4%B8%80%E6%AC%A1%E7%99%BA%E6%8E%98%E8%AA%BF%E6%9F%BB%0A","鈴鹿関西城壁跡")</f>
        <v>鈴鹿関西城壁跡</v>
      </c>
      <c r="N79" s="310" t="s">
        <v>218</v>
      </c>
      <c r="O79" s="310" t="s">
        <v>219</v>
      </c>
      <c r="P79" s="311" t="str">
        <f t="shared" si="1"/>
        <v>日本の歴史の中の亀山／古代の亀山／古代国家のあゆみと亀山／天平文化と亀山／日本書紀・古事記と万葉集／日本書紀</v>
      </c>
      <c r="Q79" s="21" t="str">
        <f>HYPERLINK("http:/kameyamarekihaku.jp/suzukanoseki/shousai.html","過去の常設展示～鈴鹿関を探る")</f>
        <v>過去の常設展示～鈴鹿関を探る</v>
      </c>
      <c r="R79" s="316" t="s">
        <v>220</v>
      </c>
    </row>
    <row r="80" spans="1:18" s="6" customFormat="1" ht="28.5" customHeight="1" x14ac:dyDescent="0.15">
      <c r="A80" s="26"/>
      <c r="B80" s="26"/>
      <c r="C80" s="26"/>
      <c r="D80" s="26"/>
      <c r="E80" s="26"/>
      <c r="F80" s="59"/>
      <c r="G80" s="59"/>
      <c r="H80" s="26"/>
      <c r="I80" s="26"/>
      <c r="J80" s="39"/>
      <c r="K80" s="59"/>
      <c r="L80" s="26"/>
      <c r="M80" s="26"/>
      <c r="N80" s="317"/>
      <c r="O80" s="317" t="e">
        <v>#VALUE!</v>
      </c>
      <c r="P80" s="318" t="str">
        <f t="shared" si="1"/>
        <v/>
      </c>
      <c r="Q80" s="21" t="str">
        <f>HYPERLINK("http://www.kameyamarekihaku.jp/sisi/seckam3/Data5/izanagi_01.html","市史考古分野（各コンテンツ）「歴史へのいざない　鈴鹿関」")</f>
        <v>市史考古分野（各コンテンツ）「歴史へのいざない　鈴鹿関」</v>
      </c>
      <c r="R80" s="316"/>
    </row>
    <row r="81" spans="1:18" s="6" customFormat="1" x14ac:dyDescent="0.15">
      <c r="A81" s="26"/>
      <c r="B81" s="26"/>
      <c r="C81" s="26"/>
      <c r="D81" s="26"/>
      <c r="E81" s="26"/>
      <c r="F81" s="59"/>
      <c r="G81" s="59"/>
      <c r="H81" s="26"/>
      <c r="I81" s="26"/>
      <c r="J81" s="39"/>
      <c r="K81" s="59"/>
      <c r="L81" s="26"/>
      <c r="M81" s="26"/>
      <c r="N81" s="19"/>
      <c r="O81" s="19" t="e">
        <v>#VALUE!</v>
      </c>
      <c r="P81" s="20" t="str">
        <f t="shared" si="1"/>
        <v/>
      </c>
      <c r="Q81" s="21" t="str">
        <f>HYPERLINK("http:/kameyamarekihaku.jp/sisi/KoukoHP/dai7sho.html","市史考古編第7章")</f>
        <v>市史考古編第7章</v>
      </c>
      <c r="R81" s="316"/>
    </row>
    <row r="82" spans="1:18" s="6" customFormat="1" ht="32.25" customHeight="1" x14ac:dyDescent="0.15">
      <c r="A82" s="26"/>
      <c r="B82" s="26"/>
      <c r="C82" s="26"/>
      <c r="D82" s="26"/>
      <c r="E82" s="26"/>
      <c r="F82" s="59"/>
      <c r="G82" s="59"/>
      <c r="H82" s="26"/>
      <c r="I82" s="26"/>
      <c r="J82" s="27"/>
      <c r="K82" s="59"/>
      <c r="L82" s="27" t="str">
        <f>HYPERLINK("http://kameyamarekihaku.jp/sisi/KoukoHP/archives/suzukaseki1/01/01-03/gi.html?pf=SKS10103-03-034.jpg&amp;pn=20060907%E4%B8%8B%E6%AE%B5%E4%B8%8A%E5%B1%A4%E7%93%A6%E5%87%BA%E5%9C%9F%E7%8A%B6%E6%B3%81%EF%BC%90%EF%BC%91","出土瓦")</f>
        <v>出土瓦</v>
      </c>
      <c r="M82" s="27" t="str">
        <f>HYPERLINK("http://kameyamarekihaku.jp/sisi/tuusiHP_next/kochuusei/image/04/gi.htm?pf=1151sh081-1.JPG&amp;?pn=%E5%9F%8E%E5%B1%B1%E3%81%8B%E3%82%89%E9%88%B4%E9%B9%BF%E9%96%A2%E4%B8%AD%E5%BF%83%E9%83%A8%E3%82%92%E6%9C%9B%E3%82%80","鈴鹿関３D復原図")</f>
        <v>鈴鹿関３D復原図</v>
      </c>
      <c r="N82" s="19" t="s">
        <v>205</v>
      </c>
      <c r="O82" s="19" t="s">
        <v>206</v>
      </c>
      <c r="P82" s="323" t="str">
        <f t="shared" si="1"/>
        <v>亀山のいいとこさがし／景色のよいところや歴史を知る手掛かりとなるもの／歴史上の場所／鈴鹿関跡（２）</v>
      </c>
      <c r="Q82" s="21" t="str">
        <f>HYPERLINK("http:/kameyamarekihaku.jp/sisi/tuusiHP_next/tuusi-index.html#kochuusei0303","市史通史編 原始・古代・中世第3章第3節第1項")</f>
        <v>市史通史編 原始・古代・中世第3章第3節第1項</v>
      </c>
      <c r="R82" s="316"/>
    </row>
    <row r="83" spans="1:18" s="6" customFormat="1" ht="18" customHeight="1" x14ac:dyDescent="0.15">
      <c r="A83" s="7"/>
      <c r="B83" s="7"/>
      <c r="C83" s="7"/>
      <c r="D83" s="7"/>
      <c r="E83" s="7"/>
      <c r="F83" s="60"/>
      <c r="G83" s="60"/>
      <c r="H83" s="7"/>
      <c r="I83" s="7"/>
      <c r="J83" s="18"/>
      <c r="K83" s="60"/>
      <c r="L83" s="7"/>
      <c r="M83" s="7"/>
      <c r="N83" s="29"/>
      <c r="O83" s="29" t="e">
        <v>#VALUE!</v>
      </c>
      <c r="P83" s="324"/>
      <c r="Q83" s="10" t="str">
        <f>HYPERLINK("http:/kameyamarekihaku.jp/sisi/KoukoHP/iseki.html","市史考古編遺跡一覧N0.34")</f>
        <v>市史考古編遺跡一覧N0.34</v>
      </c>
      <c r="R83" s="299"/>
    </row>
    <row r="84" spans="1:18" s="6" customFormat="1" ht="32.25" customHeight="1" x14ac:dyDescent="0.15">
      <c r="A84" s="11" t="s">
        <v>176</v>
      </c>
      <c r="B84" s="11">
        <v>8</v>
      </c>
      <c r="C84" s="11"/>
      <c r="D84" s="11"/>
      <c r="E84" s="11" t="s">
        <v>20</v>
      </c>
      <c r="F84" s="61" t="s">
        <v>221</v>
      </c>
      <c r="G84" s="61"/>
      <c r="H84" s="61"/>
      <c r="I84" s="61"/>
      <c r="J84" s="61"/>
      <c r="K84" s="61"/>
      <c r="L84" s="11"/>
      <c r="M84" s="11"/>
      <c r="N84" s="23"/>
      <c r="O84" s="23" t="e">
        <v>#VALUE!</v>
      </c>
      <c r="P84" s="24" t="str">
        <f t="shared" si="1"/>
        <v/>
      </c>
      <c r="Q84" s="25" t="str">
        <f>HYPERLINK("http:/kameyamarekihaku.jp/sisi/tuusiHP_next/tuusi-index.html#kochuusei0401","市史通史編 原始・古代・中世第4章第1節")</f>
        <v>市史通史編 原始・古代・中世第4章第1節</v>
      </c>
      <c r="R84" s="11" t="s">
        <v>83</v>
      </c>
    </row>
    <row r="85" spans="1:18" s="6" customFormat="1" ht="27" customHeight="1" x14ac:dyDescent="0.15">
      <c r="A85" s="15" t="s">
        <v>222</v>
      </c>
      <c r="B85" s="15">
        <v>8</v>
      </c>
      <c r="C85" s="15" t="s">
        <v>223</v>
      </c>
      <c r="D85" s="15">
        <v>701</v>
      </c>
      <c r="E85" s="15" t="s">
        <v>224</v>
      </c>
      <c r="F85" s="62" t="s">
        <v>225</v>
      </c>
      <c r="G85" s="62"/>
      <c r="H85" s="62"/>
      <c r="I85" s="62"/>
      <c r="J85" s="62"/>
      <c r="K85" s="62"/>
      <c r="L85" s="15"/>
      <c r="M85" s="15"/>
      <c r="N85" s="19"/>
      <c r="O85" s="19" t="e">
        <v>#VALUE!</v>
      </c>
      <c r="P85" s="20" t="str">
        <f t="shared" si="1"/>
        <v/>
      </c>
      <c r="Q85" s="21"/>
      <c r="R85" s="15"/>
    </row>
    <row r="86" spans="1:18" s="6" customFormat="1" ht="26.25" customHeight="1" x14ac:dyDescent="0.15">
      <c r="A86" s="15" t="s">
        <v>176</v>
      </c>
      <c r="B86" s="15">
        <v>8</v>
      </c>
      <c r="C86" s="15"/>
      <c r="D86" s="15"/>
      <c r="E86" s="15" t="s">
        <v>20</v>
      </c>
      <c r="F86" s="62"/>
      <c r="G86" s="62" t="s">
        <v>226</v>
      </c>
      <c r="H86" s="62" t="s">
        <v>199</v>
      </c>
      <c r="I86" s="62" t="s">
        <v>200</v>
      </c>
      <c r="J86" s="37" t="s">
        <v>201</v>
      </c>
      <c r="K86" s="62"/>
      <c r="L86" s="16" t="str">
        <f>HYPERLINK("http://kameyamarekihaku.jp/sisi/KoukoHP/archives/suzukaseki1/01/01-05/gi.html?pf=SKS10105-05-018.jpg&amp;pn=%E9%87%8D%E5%9C%8F%E6%96%87%E8%BB%92%E4%B8%B8","重圏文軒丸瓦")</f>
        <v>重圏文軒丸瓦</v>
      </c>
      <c r="M86" s="17" t="str">
        <f>HYPERLINK("http://kameyamarekihaku.jp/sisi/koukoHP/archives/suzukaseki1/01/01-07/gi.html?pf=SKS10107-07-037.jpg&amp;pn=%E9%88%B4%E9%B9%BF%E9%96%A2%E8%B7%A1%E7%AC%AC%E4%B8%80%E6%AC%A1%E7%99%BA%E6%8E%98%E8%AA%BF%E6%9F%BB%0A","鈴鹿関西城壁跡")</f>
        <v>鈴鹿関西城壁跡</v>
      </c>
      <c r="N86" s="310" t="s">
        <v>205</v>
      </c>
      <c r="O86" s="310" t="s">
        <v>206</v>
      </c>
      <c r="P86" s="311" t="str">
        <f t="shared" si="1"/>
        <v>亀山のいいとこさがし／景色のよいところや歴史を知る手掛かりとなるもの／歴史上の場所／鈴鹿関跡（２）</v>
      </c>
      <c r="Q86" s="17" t="str">
        <f>HYPERLINK("http:/kameyamarekihaku.jp/suzukanoseki/shousai.html","過去の常設展示～鈴鹿関を探る")</f>
        <v>過去の常設展示～鈴鹿関を探る</v>
      </c>
      <c r="R86" s="298" t="s">
        <v>227</v>
      </c>
    </row>
    <row r="87" spans="1:18" s="6" customFormat="1" ht="26.25" customHeight="1" x14ac:dyDescent="0.15">
      <c r="A87" s="26"/>
      <c r="B87" s="26"/>
      <c r="C87" s="26"/>
      <c r="D87" s="26"/>
      <c r="E87" s="26"/>
      <c r="F87" s="59"/>
      <c r="G87" s="59"/>
      <c r="H87" s="59"/>
      <c r="I87" s="59"/>
      <c r="J87" s="39"/>
      <c r="K87" s="59"/>
      <c r="L87" s="27"/>
      <c r="M87" s="26"/>
      <c r="N87" s="317"/>
      <c r="O87" s="317" t="e">
        <v>#VALUE!</v>
      </c>
      <c r="P87" s="318" t="str">
        <f t="shared" si="1"/>
        <v/>
      </c>
      <c r="Q87" s="21" t="str">
        <f>HYPERLINK("http://www.kameyamarekihaku.jp/sisi/seckam3/Data5/izanagi_01.html","市史考古分野（各コンテンツ）「歴史へのいざない　鈴鹿関」")</f>
        <v>市史考古分野（各コンテンツ）「歴史へのいざない　鈴鹿関」</v>
      </c>
      <c r="R87" s="316"/>
    </row>
    <row r="88" spans="1:18" s="6" customFormat="1" ht="18" customHeight="1" x14ac:dyDescent="0.15">
      <c r="A88" s="26"/>
      <c r="B88" s="26"/>
      <c r="C88" s="26"/>
      <c r="D88" s="26"/>
      <c r="E88" s="26"/>
      <c r="F88" s="59"/>
      <c r="G88" s="59"/>
      <c r="H88" s="59"/>
      <c r="I88" s="59"/>
      <c r="J88" s="39"/>
      <c r="K88" s="59"/>
      <c r="L88" s="27"/>
      <c r="M88" s="26"/>
      <c r="N88" s="19"/>
      <c r="O88" s="19" t="e">
        <v>#VALUE!</v>
      </c>
      <c r="P88" s="20" t="str">
        <f t="shared" si="1"/>
        <v/>
      </c>
      <c r="Q88" s="21" t="str">
        <f>HYPERLINK("http:/kameyamarekihaku.jp/sisi/KoukoHP/dai7sho.html","市史考古編第7章")</f>
        <v>市史考古編第7章</v>
      </c>
      <c r="R88" s="316"/>
    </row>
    <row r="89" spans="1:18" s="6" customFormat="1" ht="30" customHeight="1" x14ac:dyDescent="0.15">
      <c r="A89" s="26"/>
      <c r="B89" s="26"/>
      <c r="C89" s="26"/>
      <c r="D89" s="26"/>
      <c r="E89" s="26"/>
      <c r="F89" s="59"/>
      <c r="G89" s="59"/>
      <c r="H89" s="59"/>
      <c r="I89" s="59"/>
      <c r="J89" s="39"/>
      <c r="K89" s="59"/>
      <c r="L89" s="325" t="s">
        <v>228</v>
      </c>
      <c r="M89" s="27"/>
      <c r="N89" s="19"/>
      <c r="O89" s="19" t="e">
        <v>#VALUE!</v>
      </c>
      <c r="P89" s="20" t="str">
        <f t="shared" si="1"/>
        <v/>
      </c>
      <c r="Q89" s="21" t="str">
        <f>HYPERLINK("http:/kameyamarekihaku.jp/sisi/tuusiHP_next/tuusi-index.html#kochuusei0402","市史通史編 原始・古代・中世第4章第2節")</f>
        <v>市史通史編 原始・古代・中世第4章第2節</v>
      </c>
      <c r="R89" s="316"/>
    </row>
    <row r="90" spans="1:18" s="6" customFormat="1" ht="28.5" customHeight="1" x14ac:dyDescent="0.15">
      <c r="A90" s="7"/>
      <c r="B90" s="7"/>
      <c r="C90" s="7"/>
      <c r="D90" s="7"/>
      <c r="E90" s="7"/>
      <c r="F90" s="60"/>
      <c r="G90" s="60"/>
      <c r="H90" s="60"/>
      <c r="I90" s="60"/>
      <c r="J90" s="18"/>
      <c r="K90" s="60"/>
      <c r="L90" s="326"/>
      <c r="M90" s="18" t="str">
        <f>HYPERLINK("http://kameyamarekihaku.jp/sisi/tuusiHP_next/kochuusei/image/04/gi.htm?pf=1151sh081-1.JPG&amp;?pn=%E5%9F%8E%E5%B1%B1%E3%81%8B%E3%82%89%E9%88%B4%E9%B9%BF%E9%96%A2%E4%B8%AD%E5%BF%83%E9%83%A8%E3%82%92%E6%9C%9B%E3%82%80","鈴鹿関３D復原図")</f>
        <v>鈴鹿関３D復原図</v>
      </c>
      <c r="N90" s="29"/>
      <c r="O90" s="29" t="e">
        <v>#VALUE!</v>
      </c>
      <c r="P90" s="30" t="str">
        <f t="shared" si="1"/>
        <v/>
      </c>
      <c r="Q90" s="10" t="str">
        <f>HYPERLINK("http:/kameyamarekihaku.jp/sisi/KoukoHP/iseki.html","市史考古編遺跡一覧N0.34")</f>
        <v>市史考古編遺跡一覧N0.34</v>
      </c>
      <c r="R90" s="299"/>
    </row>
    <row r="91" spans="1:18" s="6" customFormat="1" ht="36" customHeight="1" x14ac:dyDescent="0.15">
      <c r="A91" s="15" t="s">
        <v>176</v>
      </c>
      <c r="B91" s="15">
        <v>8</v>
      </c>
      <c r="C91" s="15" t="s">
        <v>229</v>
      </c>
      <c r="D91" s="15">
        <v>702</v>
      </c>
      <c r="E91" s="15" t="s">
        <v>20</v>
      </c>
      <c r="F91" s="62"/>
      <c r="G91" s="62" t="s">
        <v>230</v>
      </c>
      <c r="H91" s="62"/>
      <c r="I91" s="62"/>
      <c r="J91" s="62"/>
      <c r="K91" s="37" t="s">
        <v>231</v>
      </c>
      <c r="L91" s="15"/>
      <c r="M91" s="15"/>
      <c r="N91" s="32" t="s">
        <v>232</v>
      </c>
      <c r="O91" s="32" t="s">
        <v>98</v>
      </c>
      <c r="P91" s="33" t="str">
        <f t="shared" si="1"/>
        <v>亀山のむかしばなし／亀山にまつわるひとびとの話／ヤマトタケル</v>
      </c>
      <c r="Q91" s="48" t="str">
        <f>HYPERLINK("http:/kameyamarekihaku.jp/sisi/tuusiHP_next/tuusi-index.html#kochuusei0301","市史通史編 原始古代・中世第3章第1節")</f>
        <v>市史通史編 原始古代・中世第3章第1節</v>
      </c>
      <c r="R91" s="298" t="s">
        <v>233</v>
      </c>
    </row>
    <row r="92" spans="1:18" s="6" customFormat="1" ht="32.25" customHeight="1" x14ac:dyDescent="0.15">
      <c r="A92" s="26"/>
      <c r="B92" s="26"/>
      <c r="C92" s="26"/>
      <c r="D92" s="26"/>
      <c r="E92" s="26"/>
      <c r="F92" s="59"/>
      <c r="G92" s="59"/>
      <c r="H92" s="59"/>
      <c r="I92" s="59"/>
      <c r="J92" s="59"/>
      <c r="K92" s="27"/>
      <c r="L92" s="26"/>
      <c r="M92" s="26"/>
      <c r="N92" s="19" t="s">
        <v>104</v>
      </c>
      <c r="O92" s="19" t="s">
        <v>105</v>
      </c>
      <c r="P92" s="20" t="str">
        <f t="shared" si="1"/>
        <v>古典に出てくる亀山／旅</v>
      </c>
      <c r="Q92" s="28" t="str">
        <f>HYPERLINK("http:/kameyamarekihaku.jp/yane_no_nai/131205_kawa_syo.html","川崎小6年出前授業「ヤマトタケルの謎」")</f>
        <v>川崎小6年出前授業「ヤマトタケルの謎」</v>
      </c>
      <c r="R92" s="316"/>
    </row>
    <row r="93" spans="1:18" s="6" customFormat="1" ht="45.75" customHeight="1" x14ac:dyDescent="0.15">
      <c r="A93" s="7"/>
      <c r="B93" s="7"/>
      <c r="C93" s="7"/>
      <c r="D93" s="7"/>
      <c r="E93" s="7"/>
      <c r="F93" s="60"/>
      <c r="G93" s="60"/>
      <c r="H93" s="60"/>
      <c r="I93" s="60"/>
      <c r="J93" s="60"/>
      <c r="K93" s="18"/>
      <c r="L93" s="7"/>
      <c r="M93" s="7"/>
      <c r="N93" s="19" t="s">
        <v>234</v>
      </c>
      <c r="O93" s="19" t="s">
        <v>111</v>
      </c>
      <c r="P93" s="20" t="str">
        <f t="shared" si="1"/>
        <v>日本の歴史の中の亀山／古代の亀山／古代国家のあゆみと亀山／天平文化と亀山／ヤマトタケルと能褒野</v>
      </c>
      <c r="Q93" s="28" t="str">
        <f>HYPERLINK("http://kameyamarekihaku.jp/yane_no_nai/h25_sougou.pdf","川崎小6年地域素材の教材化実践例「つなごう！わたしたちの川崎」")</f>
        <v>川崎小6年地域素材の教材化実践例「つなごう！わたしたちの川崎」</v>
      </c>
      <c r="R93" s="299"/>
    </row>
    <row r="94" spans="1:18" s="6" customFormat="1" ht="27" x14ac:dyDescent="0.15">
      <c r="A94" s="11" t="s">
        <v>176</v>
      </c>
      <c r="B94" s="11">
        <v>8</v>
      </c>
      <c r="C94" s="11" t="s">
        <v>229</v>
      </c>
      <c r="D94" s="11">
        <v>702</v>
      </c>
      <c r="E94" s="11" t="s">
        <v>20</v>
      </c>
      <c r="F94" s="61"/>
      <c r="G94" s="61" t="s">
        <v>235</v>
      </c>
      <c r="H94" s="61"/>
      <c r="I94" s="61"/>
      <c r="J94" s="61"/>
      <c r="K94" s="61" t="s">
        <v>236</v>
      </c>
      <c r="L94" s="11"/>
      <c r="M94" s="11"/>
      <c r="N94" s="12"/>
      <c r="O94" s="12" t="e">
        <v>#VALUE!</v>
      </c>
      <c r="P94" s="13" t="str">
        <f t="shared" si="1"/>
        <v/>
      </c>
      <c r="Q94" s="63"/>
      <c r="R94" s="11" t="s">
        <v>237</v>
      </c>
    </row>
    <row r="95" spans="1:18" s="6" customFormat="1" ht="15.75" customHeight="1" x14ac:dyDescent="0.15">
      <c r="A95" s="15" t="s">
        <v>238</v>
      </c>
      <c r="B95" s="15">
        <v>8</v>
      </c>
      <c r="C95" s="15"/>
      <c r="D95" s="15"/>
      <c r="E95" s="15" t="s">
        <v>20</v>
      </c>
      <c r="F95" s="62"/>
      <c r="G95" s="62" t="s">
        <v>239</v>
      </c>
      <c r="H95" s="62" t="s">
        <v>48</v>
      </c>
      <c r="I95" s="62" t="s">
        <v>240</v>
      </c>
      <c r="J95" s="327" t="s">
        <v>241</v>
      </c>
      <c r="K95" s="62" t="s">
        <v>242</v>
      </c>
      <c r="L95" s="16" t="str">
        <f>HYPERLINK("http://kameyamarekihaku.jp/sisi/tuusiHP_next/kochuusei/image/04/gi.htm?pf=1115sh065.JPG&amp;?pn=%20%E4%BC%8A%E5%8B%A2%E5%9B%BD%E5%BA%9C%E8%B7%A1%E5%87%BA%E5%9C%9F%E9%87%8D%E5%9C%88%E6%96%87%E8%BB%92%E4%B8%B8%E7%93%A6","長者屋敷遺跡出土瓦")</f>
        <v>長者屋敷遺跡出土瓦</v>
      </c>
      <c r="M95" s="16" t="str">
        <f>HYPERLINK("http://kameyamarekihaku.jp/sisi/tuusiHP_next/kochuusei/image/04/gi.htm?pf=1114sh064.JPG&amp;?pn=%E9%95%B7%E8%80%85%E5%B1%8B%E6%95%B7%E8%B7%A1%EF%BC%88%E4%BC%8A%E5%8B%A2%E5%9B%BD%E5%BA%9C%E8%B7%A1%EF%BC%89%E7%99%BA%E6%8E%98%E8%AA%BF%E6%9F%BB","伊勢国府跡")</f>
        <v>伊勢国府跡</v>
      </c>
      <c r="N95" s="310" t="s">
        <v>243</v>
      </c>
      <c r="O95" s="310" t="s">
        <v>244</v>
      </c>
      <c r="P95" s="311" t="str">
        <f t="shared" si="1"/>
        <v>日本の歴史の中の亀山／古代の亀山／古代国家のあゆみと亀山／飛鳥時代の亀山／古代の亀山を調べる</v>
      </c>
      <c r="Q95" s="21" t="str">
        <f>HYPERLINK("http:/kameyamarekihaku.jp/sisi/KoukoHP/iseki.html","市史考古編遺跡一覧N0.35")</f>
        <v>市史考古編遺跡一覧N0.35</v>
      </c>
      <c r="R95" s="298" t="s">
        <v>245</v>
      </c>
    </row>
    <row r="96" spans="1:18" s="6" customFormat="1" ht="29.25" customHeight="1" x14ac:dyDescent="0.15">
      <c r="A96" s="26"/>
      <c r="B96" s="26"/>
      <c r="C96" s="26"/>
      <c r="D96" s="26"/>
      <c r="E96" s="26"/>
      <c r="F96" s="59"/>
      <c r="G96" s="59"/>
      <c r="H96" s="59"/>
      <c r="I96" s="59"/>
      <c r="J96" s="328"/>
      <c r="K96" s="59"/>
      <c r="L96" s="64"/>
      <c r="M96" s="27"/>
      <c r="N96" s="317"/>
      <c r="O96" s="317" t="e">
        <v>#VALUE!</v>
      </c>
      <c r="P96" s="318" t="str">
        <f t="shared" si="1"/>
        <v/>
      </c>
      <c r="Q96" s="49" t="str">
        <f>HYPERLINK("http:/kameyamarekihaku.jp/sisi/tuusiHP_next/tuusi-index.html#kochuusei0401","市史通史編 原始古代・中世第4章第1節第1項")</f>
        <v>市史通史編 原始古代・中世第4章第1節第1項</v>
      </c>
      <c r="R96" s="316"/>
    </row>
    <row r="97" spans="1:18" s="6" customFormat="1" ht="43.5" customHeight="1" x14ac:dyDescent="0.15">
      <c r="A97" s="7"/>
      <c r="B97" s="7"/>
      <c r="C97" s="7"/>
      <c r="D97" s="7"/>
      <c r="E97" s="7"/>
      <c r="F97" s="60"/>
      <c r="G97" s="60"/>
      <c r="H97" s="60"/>
      <c r="I97" s="60"/>
      <c r="J97" s="65"/>
      <c r="K97" s="60"/>
      <c r="L97" s="18"/>
      <c r="M97" s="18"/>
      <c r="N97" s="29" t="s">
        <v>246</v>
      </c>
      <c r="O97" s="29" t="s">
        <v>247</v>
      </c>
      <c r="P97" s="30" t="str">
        <f t="shared" si="1"/>
        <v>日本の歴史の中の亀山／古代の亀山／古代国家のあゆみと亀山／律令国家の成立と亀山／伊勢国府と国分寺</v>
      </c>
      <c r="Q97" s="46"/>
      <c r="R97" s="9"/>
    </row>
    <row r="98" spans="1:18" s="6" customFormat="1" ht="21" customHeight="1" x14ac:dyDescent="0.15">
      <c r="A98" s="26" t="s">
        <v>238</v>
      </c>
      <c r="B98" s="26">
        <v>8</v>
      </c>
      <c r="C98" s="59" t="s">
        <v>248</v>
      </c>
      <c r="D98" s="59">
        <v>708</v>
      </c>
      <c r="E98" s="26" t="s">
        <v>34</v>
      </c>
      <c r="F98" s="59" t="s">
        <v>249</v>
      </c>
      <c r="G98" s="59"/>
      <c r="H98" s="59" t="s">
        <v>250</v>
      </c>
      <c r="I98" s="59" t="s">
        <v>251</v>
      </c>
      <c r="J98" s="59" t="s">
        <v>252</v>
      </c>
      <c r="K98" s="59"/>
      <c r="L98" s="66" t="str">
        <f>HYPERLINK("http://kameyamarekihaku.jp/sisi/tuusiHP_next/kochuusei/image/03/gi.htm?pf=1111sh063-2.JPG&amp;?pn=%20%E5%BE%A1%E5%BA%A7%E9%81%BA%E8%B7%A1%E5%87%BA%E5%9C%9F%E5%92%8C%E5%90%8C%E9%96%8B%E7%8F%8E","御座遺跡出土和同開珎")</f>
        <v>御座遺跡出土和同開珎</v>
      </c>
      <c r="M98" s="26"/>
      <c r="N98" s="317" t="s">
        <v>253</v>
      </c>
      <c r="O98" s="317" t="s">
        <v>254</v>
      </c>
      <c r="P98" s="318" t="str">
        <f t="shared" si="1"/>
        <v>日本の歴史の中の亀山／古代の亀山／古代国家のあゆみと亀山／さまざまな古代遺跡</v>
      </c>
      <c r="Q98" s="21" t="str">
        <f>HYPERLINK("http:/kameyamarekihaku.jp/sisi/tuusiHP_next/tuusi-index.html#kochuusei0303","市史通史編 原始・古代・中世第3章第3節")</f>
        <v>市史通史編 原始・古代・中世第3章第3節</v>
      </c>
      <c r="R98" s="316" t="s">
        <v>255</v>
      </c>
    </row>
    <row r="99" spans="1:18" s="6" customFormat="1" ht="32.25" customHeight="1" x14ac:dyDescent="0.15">
      <c r="A99" s="7"/>
      <c r="B99" s="7"/>
      <c r="C99" s="7"/>
      <c r="D99" s="7"/>
      <c r="E99" s="7"/>
      <c r="F99" s="7"/>
      <c r="G99" s="7"/>
      <c r="H99" s="7"/>
      <c r="I99" s="7"/>
      <c r="J99" s="18"/>
      <c r="K99" s="7"/>
      <c r="L99" s="7"/>
      <c r="M99" s="7"/>
      <c r="N99" s="306"/>
      <c r="O99" s="306" t="e">
        <v>#VALUE!</v>
      </c>
      <c r="P99" s="308" t="str">
        <f t="shared" si="1"/>
        <v/>
      </c>
      <c r="Q99" s="31" t="str">
        <f>HYPERLINK("http://kameyamarekihaku.jp/yane_no_nai/jissen_rei/hiruo.html","昼生小6年出前授業実践例「亀山・昼生の歴史をさがしに」")</f>
        <v>昼生小6年出前授業実践例「亀山・昼生の歴史をさがしに」</v>
      </c>
      <c r="R99" s="299"/>
    </row>
    <row r="100" spans="1:18" s="6" customFormat="1" x14ac:dyDescent="0.15">
      <c r="A100" s="11" t="s">
        <v>238</v>
      </c>
      <c r="B100" s="11">
        <v>8</v>
      </c>
      <c r="C100" s="61" t="s">
        <v>256</v>
      </c>
      <c r="D100" s="61">
        <v>710</v>
      </c>
      <c r="E100" s="11" t="s">
        <v>20</v>
      </c>
      <c r="F100" s="61" t="s">
        <v>257</v>
      </c>
      <c r="G100" s="61"/>
      <c r="H100" s="61"/>
      <c r="I100" s="61"/>
      <c r="J100" s="61"/>
      <c r="K100" s="61"/>
      <c r="L100" s="11"/>
      <c r="M100" s="11"/>
      <c r="N100" s="12"/>
      <c r="O100" s="12" t="e">
        <v>#VALUE!</v>
      </c>
      <c r="P100" s="13" t="str">
        <f t="shared" si="1"/>
        <v/>
      </c>
      <c r="Q100" s="63"/>
      <c r="R100" s="11"/>
    </row>
    <row r="101" spans="1:18" s="6" customFormat="1" ht="29.25" customHeight="1" x14ac:dyDescent="0.15">
      <c r="A101" s="15" t="s">
        <v>238</v>
      </c>
      <c r="B101" s="15">
        <v>8</v>
      </c>
      <c r="C101" s="62" t="s">
        <v>258</v>
      </c>
      <c r="D101" s="62">
        <v>712</v>
      </c>
      <c r="E101" s="15" t="s">
        <v>34</v>
      </c>
      <c r="F101" s="62" t="s">
        <v>259</v>
      </c>
      <c r="G101" s="62" t="s">
        <v>260</v>
      </c>
      <c r="H101" s="15" t="s">
        <v>48</v>
      </c>
      <c r="I101" s="15" t="s">
        <v>261</v>
      </c>
      <c r="J101" s="15" t="s">
        <v>262</v>
      </c>
      <c r="K101" s="37" t="s">
        <v>231</v>
      </c>
      <c r="L101" s="15" t="s">
        <v>263</v>
      </c>
      <c r="M101" s="15"/>
      <c r="N101" s="32" t="s">
        <v>232</v>
      </c>
      <c r="O101" s="32" t="s">
        <v>98</v>
      </c>
      <c r="P101" s="33" t="str">
        <f t="shared" si="1"/>
        <v>亀山のむかしばなし／亀山にまつわるひとびとの話／ヤマトタケル</v>
      </c>
      <c r="Q101" s="48" t="str">
        <f>HYPERLINK("http:/kameyamarekihaku.jp/sisi/tuusiHP_next/tuusi-index.html#kochuusei0301","市史通史編 原始古代・中世第3章第1節")</f>
        <v>市史通史編 原始古代・中世第3章第1節</v>
      </c>
      <c r="R101" s="298" t="s">
        <v>264</v>
      </c>
    </row>
    <row r="102" spans="1:18" s="6" customFormat="1" ht="28.5" customHeight="1" x14ac:dyDescent="0.15">
      <c r="A102" s="26"/>
      <c r="B102" s="26"/>
      <c r="C102" s="59"/>
      <c r="D102" s="59"/>
      <c r="E102" s="26"/>
      <c r="F102" s="59"/>
      <c r="G102" s="59"/>
      <c r="H102" s="26"/>
      <c r="I102" s="26"/>
      <c r="J102" s="26"/>
      <c r="K102" s="39"/>
      <c r="L102" s="26"/>
      <c r="M102" s="26"/>
      <c r="N102" s="19" t="s">
        <v>100</v>
      </c>
      <c r="O102" s="19" t="s">
        <v>101</v>
      </c>
      <c r="P102" s="20" t="str">
        <f t="shared" si="1"/>
        <v>古典に出てくる亀山／歌／そのほかの場所</v>
      </c>
      <c r="Q102" s="49" t="str">
        <f>HYPERLINK("http:/kameyamarekihaku.jp/sisi/tuusiHP_next/kochuusei/image/03/gi.htm?pf=1083sh046.JPG&amp;?pn=%20%E6%9D%96%E8%A1%9D%E5%9D%82%EF%BC%88%E5%9B%9B%E6%97%A5%E5%B8%82%E5%B8%82%E9%87%86%E5%A5%B3%E7%94%BA%EF%BC%89","杖突坂")</f>
        <v>杖突坂</v>
      </c>
      <c r="R102" s="316"/>
    </row>
    <row r="103" spans="1:18" s="6" customFormat="1" ht="18.75" customHeight="1" x14ac:dyDescent="0.15">
      <c r="A103" s="26"/>
      <c r="B103" s="26"/>
      <c r="C103" s="59"/>
      <c r="D103" s="59"/>
      <c r="E103" s="26"/>
      <c r="F103" s="59"/>
      <c r="G103" s="59"/>
      <c r="H103" s="26"/>
      <c r="I103" s="26"/>
      <c r="J103" s="26"/>
      <c r="K103" s="27"/>
      <c r="L103" s="26"/>
      <c r="M103" s="26"/>
      <c r="N103" s="19" t="s">
        <v>104</v>
      </c>
      <c r="O103" s="19" t="s">
        <v>105</v>
      </c>
      <c r="P103" s="20" t="str">
        <f t="shared" si="1"/>
        <v>古典に出てくる亀山／旅</v>
      </c>
      <c r="Q103" s="28" t="str">
        <f>HYPERLINK("http:/kameyamarekihaku.jp/yane_no_nai/131205_kawa_syo.html","川崎小6年出前授業「ヤマトタケルの謎」")</f>
        <v>川崎小6年出前授業「ヤマトタケルの謎」</v>
      </c>
      <c r="R103" s="316"/>
    </row>
    <row r="104" spans="1:18" s="67" customFormat="1" ht="46.5" customHeight="1" x14ac:dyDescent="0.15">
      <c r="A104" s="26"/>
      <c r="B104" s="26"/>
      <c r="C104" s="59"/>
      <c r="D104" s="59"/>
      <c r="E104" s="26"/>
      <c r="F104" s="59"/>
      <c r="G104" s="59"/>
      <c r="H104" s="26"/>
      <c r="I104" s="26"/>
      <c r="J104" s="26"/>
      <c r="K104" s="27"/>
      <c r="L104" s="26"/>
      <c r="M104" s="26"/>
      <c r="N104" s="19" t="s">
        <v>265</v>
      </c>
      <c r="O104" s="19" t="s">
        <v>266</v>
      </c>
      <c r="P104" s="20" t="str">
        <f t="shared" si="1"/>
        <v>日本の歴史の中の亀山／古代の亀山／古代国家のあゆみと亀山／天平文化と亀山／日本書紀・古事記と万葉集／古事記</v>
      </c>
      <c r="Q104" s="28" t="str">
        <f>HYPERLINK("http://kameyamarekihaku.jp/yane_no_nai/h25_sougou.pdf","川崎小6年地域素材の教材化実践例「つなごう！わたしたちの川崎」")</f>
        <v>川崎小6年地域素材の教材化実践例「つなごう！わたしたちの川崎」</v>
      </c>
      <c r="R104" s="43"/>
    </row>
    <row r="105" spans="1:18" s="67" customFormat="1" ht="46.5" customHeight="1" x14ac:dyDescent="0.15">
      <c r="A105" s="26"/>
      <c r="B105" s="26"/>
      <c r="C105" s="59"/>
      <c r="D105" s="59"/>
      <c r="E105" s="26"/>
      <c r="F105" s="59"/>
      <c r="G105" s="59"/>
      <c r="H105" s="26"/>
      <c r="I105" s="26"/>
      <c r="J105" s="26"/>
      <c r="K105" s="27"/>
      <c r="L105" s="26"/>
      <c r="M105" s="26"/>
      <c r="N105" s="19" t="s">
        <v>234</v>
      </c>
      <c r="O105" s="19" t="s">
        <v>111</v>
      </c>
      <c r="P105" s="20" t="str">
        <f t="shared" si="1"/>
        <v>日本の歴史の中の亀山／古代の亀山／古代国家のあゆみと亀山／天平文化と亀山／ヤマトタケルと能褒野</v>
      </c>
      <c r="Q105" s="68"/>
      <c r="R105" s="43"/>
    </row>
    <row r="106" spans="1:18" s="67" customFormat="1" ht="33.75" customHeight="1" x14ac:dyDescent="0.15">
      <c r="A106" s="7"/>
      <c r="B106" s="7"/>
      <c r="C106" s="60"/>
      <c r="D106" s="60"/>
      <c r="E106" s="7"/>
      <c r="F106" s="60"/>
      <c r="G106" s="60"/>
      <c r="H106" s="7"/>
      <c r="I106" s="7"/>
      <c r="J106" s="7"/>
      <c r="K106" s="18"/>
      <c r="L106" s="7"/>
      <c r="M106" s="7"/>
      <c r="N106" s="29" t="s">
        <v>267</v>
      </c>
      <c r="O106" s="29" t="s">
        <v>266</v>
      </c>
      <c r="P106" s="30" t="str">
        <f t="shared" si="1"/>
        <v>亀山のいいとこさがし／手紙や本／むかしの本／古事記</v>
      </c>
      <c r="Q106" s="69"/>
      <c r="R106" s="9"/>
    </row>
    <row r="107" spans="1:18" s="6" customFormat="1" ht="45.75" customHeight="1" x14ac:dyDescent="0.15">
      <c r="A107" s="288" t="s">
        <v>238</v>
      </c>
      <c r="B107" s="288">
        <v>8</v>
      </c>
      <c r="C107" s="290" t="s">
        <v>258</v>
      </c>
      <c r="D107" s="290">
        <v>712</v>
      </c>
      <c r="E107" s="288" t="s">
        <v>20</v>
      </c>
      <c r="F107" s="290"/>
      <c r="G107" s="290" t="s">
        <v>268</v>
      </c>
      <c r="H107" s="290" t="s">
        <v>199</v>
      </c>
      <c r="I107" s="290" t="s">
        <v>200</v>
      </c>
      <c r="J107" s="37" t="s">
        <v>201</v>
      </c>
      <c r="K107" s="290"/>
      <c r="L107" s="288"/>
      <c r="M107" s="282" t="str">
        <f>HYPERLINK("http://kameyamarekihaku.jp/sisi/koukoHP/archives/suzukaseki1/01/01-07/gi.html?pf=SKS10107-07-037.jpg&amp;pn=%E9%88%B4%E9%B9%BF%E9%96%A2%E8%B7%A1%E7%AC%AC%E4%B8%80%E6%AC%A1%E7%99%BA%E6%8E%98%E8%AA%BF%E6%9F%BB%0A","鈴鹿関西城壁跡")</f>
        <v>鈴鹿関西城壁跡</v>
      </c>
      <c r="N107" s="284" t="s">
        <v>205</v>
      </c>
      <c r="O107" s="284" t="s">
        <v>206</v>
      </c>
      <c r="P107" s="285" t="str">
        <f>IFERROR(HYPERLINK(O107,N107),"")</f>
        <v>亀山のいいとこさがし／景色のよいところや歴史を知る手掛かりとなるもの／歴史上の場所／鈴鹿関跡（２）</v>
      </c>
      <c r="Q107" s="286"/>
      <c r="R107" s="288" t="s">
        <v>270</v>
      </c>
    </row>
    <row r="108" spans="1:18" s="6" customFormat="1" ht="45" customHeight="1" x14ac:dyDescent="0.15">
      <c r="A108" s="289"/>
      <c r="B108" s="289"/>
      <c r="C108" s="291"/>
      <c r="D108" s="291"/>
      <c r="E108" s="289"/>
      <c r="F108" s="291"/>
      <c r="G108" s="291"/>
      <c r="H108" s="291"/>
      <c r="I108" s="291"/>
      <c r="J108" s="72"/>
      <c r="K108" s="291"/>
      <c r="L108" s="289"/>
      <c r="M108" s="283"/>
      <c r="N108" s="287" t="s">
        <v>269</v>
      </c>
      <c r="O108" s="292" t="s">
        <v>287</v>
      </c>
      <c r="P108" s="126" t="str">
        <f>IFERROR(HYPERLINK(O108,N108),"")</f>
        <v>日本の歴史の中の亀山／古代の亀山／古代国家のあゆみと亀山／律令国家の成立と亀山／古代の関所</v>
      </c>
      <c r="Q108" s="287"/>
      <c r="R108" s="289"/>
    </row>
    <row r="109" spans="1:18" s="6" customFormat="1" ht="29.25" customHeight="1" x14ac:dyDescent="0.15">
      <c r="A109" s="11" t="s">
        <v>238</v>
      </c>
      <c r="B109" s="11">
        <v>8</v>
      </c>
      <c r="C109" s="61" t="s">
        <v>271</v>
      </c>
      <c r="D109" s="61">
        <v>713</v>
      </c>
      <c r="E109" s="11" t="s">
        <v>20</v>
      </c>
      <c r="F109" s="61"/>
      <c r="G109" s="61" t="s">
        <v>272</v>
      </c>
      <c r="H109" s="61"/>
      <c r="I109" s="61"/>
      <c r="J109" s="61"/>
      <c r="K109" s="61"/>
      <c r="L109" s="11"/>
      <c r="M109" s="11"/>
      <c r="N109" s="12"/>
      <c r="O109" s="12" t="e">
        <v>#VALUE!</v>
      </c>
      <c r="P109" s="13" t="str">
        <f t="shared" si="1"/>
        <v/>
      </c>
      <c r="Q109" s="63"/>
      <c r="R109" s="11" t="s">
        <v>273</v>
      </c>
    </row>
    <row r="110" spans="1:18" s="6" customFormat="1" ht="31.5" customHeight="1" x14ac:dyDescent="0.15">
      <c r="A110" s="15" t="s">
        <v>238</v>
      </c>
      <c r="B110" s="15">
        <v>8</v>
      </c>
      <c r="C110" s="62" t="s">
        <v>274</v>
      </c>
      <c r="D110" s="62">
        <v>720</v>
      </c>
      <c r="E110" s="15" t="s">
        <v>34</v>
      </c>
      <c r="F110" s="62" t="s">
        <v>275</v>
      </c>
      <c r="G110" s="327" t="s">
        <v>276</v>
      </c>
      <c r="H110" s="15" t="s">
        <v>48</v>
      </c>
      <c r="I110" s="15" t="s">
        <v>277</v>
      </c>
      <c r="J110" s="15" t="s">
        <v>262</v>
      </c>
      <c r="K110" s="327" t="s">
        <v>278</v>
      </c>
      <c r="L110" s="15" t="s">
        <v>171</v>
      </c>
      <c r="M110" s="15"/>
      <c r="N110" s="32" t="s">
        <v>232</v>
      </c>
      <c r="O110" s="32" t="s">
        <v>98</v>
      </c>
      <c r="P110" s="33" t="str">
        <f t="shared" si="1"/>
        <v>亀山のむかしばなし／亀山にまつわるひとびとの話／ヤマトタケル</v>
      </c>
      <c r="Q110" s="48" t="str">
        <f>HYPERLINK("http:/kameyamarekihaku.jp/sisi/tuusiHP_next/tuusi-index.html#kochuusei0301","市史通史編 原始古代・中世第3章第1節")</f>
        <v>市史通史編 原始古代・中世第3章第1節</v>
      </c>
      <c r="R110" s="298" t="s">
        <v>279</v>
      </c>
    </row>
    <row r="111" spans="1:18" s="6" customFormat="1" ht="15.75" customHeight="1" x14ac:dyDescent="0.15">
      <c r="A111" s="26"/>
      <c r="B111" s="26"/>
      <c r="C111" s="59"/>
      <c r="D111" s="59"/>
      <c r="E111" s="26"/>
      <c r="F111" s="59"/>
      <c r="G111" s="328"/>
      <c r="H111" s="26"/>
      <c r="I111" s="26"/>
      <c r="J111" s="26"/>
      <c r="K111" s="328"/>
      <c r="L111" s="26"/>
      <c r="M111" s="26"/>
      <c r="N111" s="19" t="s">
        <v>213</v>
      </c>
      <c r="O111" s="19" t="s">
        <v>105</v>
      </c>
      <c r="P111" s="20" t="str">
        <f t="shared" si="1"/>
        <v>古典に出てくる亀山／旅</v>
      </c>
      <c r="Q111" s="28" t="str">
        <f>HYPERLINK("http:/kameyamarekihaku.jp/yane_no_nai/131205_kawa_syo.html","川崎小出前授業「ヤマトタケルの謎」")</f>
        <v>川崎小出前授業「ヤマトタケルの謎」</v>
      </c>
      <c r="R111" s="316"/>
    </row>
    <row r="112" spans="1:18" s="6" customFormat="1" ht="46.5" customHeight="1" x14ac:dyDescent="0.15">
      <c r="A112" s="26"/>
      <c r="B112" s="26"/>
      <c r="C112" s="59"/>
      <c r="D112" s="59"/>
      <c r="E112" s="26"/>
      <c r="F112" s="59"/>
      <c r="G112" s="70"/>
      <c r="H112" s="26"/>
      <c r="I112" s="26"/>
      <c r="J112" s="26"/>
      <c r="K112" s="70"/>
      <c r="L112" s="26"/>
      <c r="M112" s="26"/>
      <c r="N112" s="19" t="s">
        <v>280</v>
      </c>
      <c r="O112" s="19" t="s">
        <v>197</v>
      </c>
      <c r="P112" s="20" t="str">
        <f t="shared" si="1"/>
        <v>日本の歴史の中の亀山／古代の亀山／古代国家のあゆみと亀山／飛鳥時代の亀山／壬申の乱と亀山</v>
      </c>
      <c r="Q112" s="28" t="str">
        <f>HYPERLINK("http://kameyamarekihaku.jp/yane_no_nai/h25_sougou.pdf","川崎小6年地域素材の教材化実践例「つなごう！わたしたちの川崎」")</f>
        <v>川崎小6年地域素材の教材化実践例「つなごう！わたしたちの川崎」</v>
      </c>
      <c r="R112" s="316"/>
    </row>
    <row r="113" spans="1:18" s="6" customFormat="1" ht="46.5" customHeight="1" x14ac:dyDescent="0.15">
      <c r="A113" s="26"/>
      <c r="B113" s="26"/>
      <c r="C113" s="59"/>
      <c r="D113" s="59"/>
      <c r="E113" s="26"/>
      <c r="F113" s="59"/>
      <c r="G113" s="70"/>
      <c r="H113" s="26"/>
      <c r="I113" s="26"/>
      <c r="J113" s="26"/>
      <c r="K113" s="70"/>
      <c r="L113" s="26"/>
      <c r="M113" s="26"/>
      <c r="N113" s="19" t="s">
        <v>281</v>
      </c>
      <c r="O113" s="19" t="s">
        <v>282</v>
      </c>
      <c r="P113" s="20" t="str">
        <f t="shared" si="1"/>
        <v>日本の歴史の中の亀山／古代の亀山／古代国家のあゆみと亀山／天平文化と亀山／日本書紀・古事記と万葉集</v>
      </c>
      <c r="Q113" s="68"/>
      <c r="R113" s="43"/>
    </row>
    <row r="114" spans="1:18" s="6" customFormat="1" ht="45" customHeight="1" x14ac:dyDescent="0.15">
      <c r="A114" s="26"/>
      <c r="B114" s="26"/>
      <c r="C114" s="59"/>
      <c r="D114" s="59"/>
      <c r="E114" s="26"/>
      <c r="F114" s="59"/>
      <c r="G114" s="70"/>
      <c r="H114" s="26"/>
      <c r="I114" s="26"/>
      <c r="J114" s="26"/>
      <c r="K114" s="70"/>
      <c r="L114" s="26"/>
      <c r="M114" s="26"/>
      <c r="N114" s="19" t="s">
        <v>234</v>
      </c>
      <c r="O114" s="19" t="s">
        <v>111</v>
      </c>
      <c r="P114" s="20" t="str">
        <f t="shared" si="1"/>
        <v>日本の歴史の中の亀山／古代の亀山／古代国家のあゆみと亀山／天平文化と亀山／ヤマトタケルと能褒野</v>
      </c>
      <c r="Q114" s="68"/>
      <c r="R114" s="43"/>
    </row>
    <row r="115" spans="1:18" s="6" customFormat="1" ht="34.5" customHeight="1" x14ac:dyDescent="0.15">
      <c r="A115" s="7"/>
      <c r="B115" s="7"/>
      <c r="C115" s="60"/>
      <c r="D115" s="60"/>
      <c r="E115" s="7"/>
      <c r="F115" s="60"/>
      <c r="G115" s="65"/>
      <c r="H115" s="7"/>
      <c r="I115" s="7"/>
      <c r="J115" s="7"/>
      <c r="K115" s="65"/>
      <c r="L115" s="7"/>
      <c r="M115" s="7"/>
      <c r="N115" s="29" t="s">
        <v>283</v>
      </c>
      <c r="O115" s="29" t="s">
        <v>219</v>
      </c>
      <c r="P115" s="30" t="str">
        <f t="shared" si="1"/>
        <v>亀山のいいとこさがし／手紙や本／むかしの本／日本書紀</v>
      </c>
      <c r="Q115" s="69"/>
      <c r="R115" s="9"/>
    </row>
    <row r="116" spans="1:18" s="6" customFormat="1" ht="15.75" customHeight="1" x14ac:dyDescent="0.15">
      <c r="A116" s="15" t="s">
        <v>238</v>
      </c>
      <c r="B116" s="15">
        <v>8</v>
      </c>
      <c r="C116" s="62" t="s">
        <v>284</v>
      </c>
      <c r="D116" s="62">
        <v>721</v>
      </c>
      <c r="E116" s="15" t="s">
        <v>20</v>
      </c>
      <c r="F116" s="62"/>
      <c r="G116" s="327" t="s">
        <v>285</v>
      </c>
      <c r="H116" s="62" t="s">
        <v>199</v>
      </c>
      <c r="I116" s="62" t="s">
        <v>200</v>
      </c>
      <c r="J116" s="37" t="s">
        <v>201</v>
      </c>
      <c r="K116" s="62"/>
      <c r="L116" s="15"/>
      <c r="M116" s="71" t="str">
        <f>HYPERLINK("http://kameyamarekihaku.jp/sisi/koukoHP/archives/suzukaseki1/01/01-05/gi.html?pf=SKS10105-05-008.jpg&amp;pn=%E8%A5%BF%E5%9F%8E%E5%A3%81%EF%BC%88%E4%B8%AD%E6%AE%B5%E7%93%A6%E5%87%BA%E5%9C%9F%E7%8A%B6%E6%B3%81%EF%BC%89","西城壁跡")</f>
        <v>西城壁跡</v>
      </c>
      <c r="N116" s="310" t="s">
        <v>286</v>
      </c>
      <c r="O116" s="310" t="s">
        <v>287</v>
      </c>
      <c r="P116" s="311" t="str">
        <f t="shared" si="1"/>
        <v>日本の歴史の中の亀山／古代の亀山／古代国家のあゆみと亀山／律令国家の成立と亀山／古代の関所</v>
      </c>
      <c r="Q116" s="71" t="str">
        <f>HYPERLINK("http:/kameyamarekihaku.jp/suzukanoseki/gi/gi.htm?pf=zu1.jpg&amp;pn=%E5%8F%A4%E4%BB%A3%E4%B8%89%E9%96%A2%E4%BD%8D%E7%BD%AE%E5%9B%B3","古代三関位置図")</f>
        <v>古代三関位置図</v>
      </c>
      <c r="R116" s="298" t="s">
        <v>288</v>
      </c>
    </row>
    <row r="117" spans="1:18" s="6" customFormat="1" ht="18" customHeight="1" x14ac:dyDescent="0.15">
      <c r="A117" s="26"/>
      <c r="B117" s="26"/>
      <c r="C117" s="59"/>
      <c r="D117" s="59"/>
      <c r="E117" s="26"/>
      <c r="F117" s="59"/>
      <c r="G117" s="328"/>
      <c r="H117" s="59"/>
      <c r="I117" s="59"/>
      <c r="J117" s="39"/>
      <c r="K117" s="59"/>
      <c r="L117" s="26"/>
      <c r="M117" s="26"/>
      <c r="N117" s="317"/>
      <c r="O117" s="317" t="e">
        <v>#VALUE!</v>
      </c>
      <c r="P117" s="318" t="str">
        <f t="shared" si="1"/>
        <v/>
      </c>
      <c r="Q117" s="21" t="str">
        <f>HYPERLINK("http:/kameyamarekihaku.jp/suzukanoseki/shousai.html","過去の常設展示～鈴鹿関を探る")</f>
        <v>過去の常設展示～鈴鹿関を探る</v>
      </c>
      <c r="R117" s="316"/>
    </row>
    <row r="118" spans="1:18" s="6" customFormat="1" ht="31.5" customHeight="1" x14ac:dyDescent="0.15">
      <c r="A118" s="26"/>
      <c r="B118" s="26"/>
      <c r="C118" s="59"/>
      <c r="D118" s="59"/>
      <c r="E118" s="26"/>
      <c r="F118" s="59"/>
      <c r="G118" s="328"/>
      <c r="H118" s="59"/>
      <c r="I118" s="59"/>
      <c r="J118" s="39"/>
      <c r="K118" s="59"/>
      <c r="L118" s="26"/>
      <c r="M118" s="26"/>
      <c r="N118" s="317"/>
      <c r="O118" s="317" t="e">
        <v>#VALUE!</v>
      </c>
      <c r="P118" s="318" t="str">
        <f t="shared" si="1"/>
        <v/>
      </c>
      <c r="Q118" s="21" t="str">
        <f>HYPERLINK("http://www.kameyamarekihaku.jp/sisi/seckam3/Data5/izanagi_01.html","市史考古分野（各コンテンツ）「歴史へのいざない　鈴鹿関」")</f>
        <v>市史考古分野（各コンテンツ）「歴史へのいざない　鈴鹿関」</v>
      </c>
      <c r="R118" s="316"/>
    </row>
    <row r="119" spans="1:18" s="6" customFormat="1" ht="17.25" customHeight="1" x14ac:dyDescent="0.15">
      <c r="A119" s="26"/>
      <c r="B119" s="26"/>
      <c r="C119" s="59"/>
      <c r="D119" s="59"/>
      <c r="E119" s="26"/>
      <c r="F119" s="59"/>
      <c r="G119" s="328"/>
      <c r="H119" s="59"/>
      <c r="I119" s="59"/>
      <c r="J119" s="39"/>
      <c r="K119" s="59"/>
      <c r="L119" s="26"/>
      <c r="M119" s="26"/>
      <c r="N119" s="317" t="s">
        <v>289</v>
      </c>
      <c r="O119" s="317" t="s">
        <v>206</v>
      </c>
      <c r="P119" s="318" t="str">
        <f t="shared" si="1"/>
        <v>亀山のいいとこさがし／景色のよいところや歴史を知る手掛かりとなるもの／歴史上の場所／鈴鹿関跡（２）</v>
      </c>
      <c r="Q119" s="21" t="str">
        <f>HYPERLINK("http:/kameyamarekihaku.jp/sisi/KoukoHP/dai7sho.html","市史考古編第7章")</f>
        <v>市史考古編第7章</v>
      </c>
      <c r="R119" s="316"/>
    </row>
    <row r="120" spans="1:18" s="6" customFormat="1" ht="17.25" customHeight="1" x14ac:dyDescent="0.15">
      <c r="A120" s="26"/>
      <c r="B120" s="26"/>
      <c r="C120" s="59"/>
      <c r="D120" s="59"/>
      <c r="E120" s="26"/>
      <c r="F120" s="59"/>
      <c r="G120" s="328"/>
      <c r="H120" s="59"/>
      <c r="I120" s="59"/>
      <c r="J120" s="39"/>
      <c r="K120" s="59"/>
      <c r="L120" s="26"/>
      <c r="M120" s="26"/>
      <c r="N120" s="317"/>
      <c r="O120" s="317" t="e">
        <v>#VALUE!</v>
      </c>
      <c r="P120" s="318" t="str">
        <f t="shared" si="1"/>
        <v/>
      </c>
      <c r="Q120" s="21" t="str">
        <f>HYPERLINK("http:/kameyamarekihaku.jp/sisi/tuusiHP_next/tuusi-index.html#kochuusei0402","市史通史編 原始・古代・中世第4章第2節")</f>
        <v>市史通史編 原始・古代・中世第4章第2節</v>
      </c>
      <c r="R120" s="316"/>
    </row>
    <row r="121" spans="1:18" s="6" customFormat="1" ht="18.75" customHeight="1" x14ac:dyDescent="0.15">
      <c r="A121" s="7"/>
      <c r="B121" s="7"/>
      <c r="C121" s="60"/>
      <c r="D121" s="60"/>
      <c r="E121" s="7"/>
      <c r="F121" s="60"/>
      <c r="G121" s="329"/>
      <c r="H121" s="60"/>
      <c r="I121" s="60"/>
      <c r="J121" s="39"/>
      <c r="K121" s="60"/>
      <c r="L121" s="7"/>
      <c r="M121" s="26"/>
      <c r="N121" s="306"/>
      <c r="O121" s="306" t="e">
        <v>#VALUE!</v>
      </c>
      <c r="P121" s="308" t="str">
        <f t="shared" si="1"/>
        <v/>
      </c>
      <c r="Q121" s="10" t="str">
        <f>HYPERLINK("http:/kameyamarekihaku.jp/sisi/KoukoHP/iseki.html","市史考古編遺跡一覧N0.34")</f>
        <v>市史考古編遺跡一覧N0.34</v>
      </c>
      <c r="R121" s="299"/>
    </row>
    <row r="122" spans="1:18" s="6" customFormat="1" ht="42.75" customHeight="1" x14ac:dyDescent="0.15">
      <c r="A122" s="15" t="s">
        <v>238</v>
      </c>
      <c r="B122" s="15">
        <v>8</v>
      </c>
      <c r="C122" s="62" t="s">
        <v>290</v>
      </c>
      <c r="D122" s="62">
        <v>729</v>
      </c>
      <c r="E122" s="15" t="s">
        <v>20</v>
      </c>
      <c r="F122" s="62"/>
      <c r="G122" s="62" t="s">
        <v>291</v>
      </c>
      <c r="H122" s="62" t="s">
        <v>199</v>
      </c>
      <c r="I122" s="62" t="s">
        <v>200</v>
      </c>
      <c r="J122" s="37" t="s">
        <v>201</v>
      </c>
      <c r="K122" s="62"/>
      <c r="L122" s="15"/>
      <c r="M122" s="17" t="str">
        <f>HYPERLINK("http://kameyamarekihaku.jp/sisi/koukoHP/archives/suzukaseki1/01/01-07/gi.html?pf=SKS10107-07-037.jpg&amp;pn=%E9%88%B4%E9%B9%BF%E9%96%A2%E8%B7%A1%E7%AC%AC%E4%B8%80%E6%AC%A1%E7%99%BA%E6%8E%98%E8%AA%BF%E6%9F%BB%0A","鈴鹿関西城壁跡")</f>
        <v>鈴鹿関西城壁跡</v>
      </c>
      <c r="N122" s="32" t="s">
        <v>269</v>
      </c>
      <c r="O122" s="32" t="s">
        <v>287</v>
      </c>
      <c r="P122" s="33" t="str">
        <f t="shared" si="1"/>
        <v>日本の歴史の中の亀山／古代の亀山／古代国家のあゆみと亀山／律令国家の成立と亀山／古代の関所</v>
      </c>
      <c r="Q122" s="17"/>
      <c r="R122" s="15" t="s">
        <v>273</v>
      </c>
    </row>
    <row r="123" spans="1:18" s="6" customFormat="1" ht="50.25" customHeight="1" x14ac:dyDescent="0.15">
      <c r="A123" s="7"/>
      <c r="B123" s="7"/>
      <c r="C123" s="60"/>
      <c r="D123" s="60"/>
      <c r="E123" s="7"/>
      <c r="F123" s="60"/>
      <c r="G123" s="60"/>
      <c r="H123" s="60"/>
      <c r="I123" s="60"/>
      <c r="J123" s="72"/>
      <c r="K123" s="60"/>
      <c r="L123" s="7"/>
      <c r="M123" s="10"/>
      <c r="N123" s="29" t="s">
        <v>289</v>
      </c>
      <c r="O123" s="29" t="s">
        <v>206</v>
      </c>
      <c r="P123" s="30" t="str">
        <f t="shared" si="1"/>
        <v>亀山のいいとこさがし／景色のよいところや歴史を知る手掛かりとなるもの／歴史上の場所／鈴鹿関跡（２）</v>
      </c>
      <c r="Q123" s="10"/>
      <c r="R123" s="7"/>
    </row>
    <row r="124" spans="1:18" s="6" customFormat="1" ht="17.25" customHeight="1" x14ac:dyDescent="0.15">
      <c r="A124" s="15" t="s">
        <v>238</v>
      </c>
      <c r="B124" s="15">
        <v>8</v>
      </c>
      <c r="C124" s="62" t="s">
        <v>292</v>
      </c>
      <c r="D124" s="62">
        <v>740</v>
      </c>
      <c r="E124" s="15" t="s">
        <v>20</v>
      </c>
      <c r="F124" s="62"/>
      <c r="G124" s="330" t="s">
        <v>293</v>
      </c>
      <c r="H124" s="15" t="s">
        <v>294</v>
      </c>
      <c r="I124" s="15" t="s">
        <v>295</v>
      </c>
      <c r="J124" s="73" t="str">
        <f>HYPERLINK("http://kameyamarekihaku.jp/suzukanoseki/gi/gi.htm?pf=sha15.jpg&amp;pn=%E3%80%80%E8%B5%A4%E5%9D%82%E9%A0%93%E5%AE%AE%E8%B7%A1%E7%A2%91","赤坂頓宮跡/関町木崎")</f>
        <v>赤坂頓宮跡/関町木崎</v>
      </c>
      <c r="K124" s="298" t="s">
        <v>296</v>
      </c>
      <c r="L124" s="15"/>
      <c r="M124" s="73" t="str">
        <f>HYPERLINK("http://kameyamarekihaku.jp/suzukanoseki/gi/gi.htm?pf=sha15.jpg&amp;pn=%E3%80%80%E8%B5%A4%E5%9D%82%E9%A0%93%E5%AE%AE%E8%B7%A1%E7%A2%91","赤坂頓宮跡/関町木崎")</f>
        <v>赤坂頓宮跡/関町木崎</v>
      </c>
      <c r="N124" s="74" t="s">
        <v>213</v>
      </c>
      <c r="O124" s="32" t="s">
        <v>105</v>
      </c>
      <c r="P124" s="33" t="str">
        <f t="shared" si="1"/>
        <v>古典に出てくる亀山／旅</v>
      </c>
      <c r="Q124" s="71" t="str">
        <f>HYPERLINK("http:/kameyamarekihaku.jp/sisi/koukoHP/gi/gi.htm?pf=zu7-25.jpg&amp;pn=%E3%80%80%E8%81%96%E6%AD%A6%E5%A4%A9%E7%9A%87%E6%9D%B1%E5%9B%BD%E8%A1%8C%E5%B9%B8%E5%9B%B3","聖武天皇東国行幸経路図")</f>
        <v>聖武天皇東国行幸経路図</v>
      </c>
      <c r="R124" s="298" t="s">
        <v>297</v>
      </c>
    </row>
    <row r="125" spans="1:18" s="6" customFormat="1" ht="29.25" customHeight="1" x14ac:dyDescent="0.15">
      <c r="A125" s="26"/>
      <c r="B125" s="26"/>
      <c r="C125" s="59"/>
      <c r="D125" s="59"/>
      <c r="E125" s="26"/>
      <c r="F125" s="59"/>
      <c r="G125" s="331"/>
      <c r="H125" s="26"/>
      <c r="I125" s="26"/>
      <c r="J125" s="75"/>
      <c r="K125" s="332"/>
      <c r="L125" s="26"/>
      <c r="M125" s="76" t="str">
        <f>HYPERLINK("http://kameyamarekihaku.jp/sisi/tuusiHP_next/kochuusei/image/04/gi.htm?pf=1126sh070.JPG&amp;?pn=%20%E9%88%B4%E9%B9%BF%E5%B8%82%E5%9B%BD%E5%BA%9C%E7%94%BA%E8%B5%A4%E5%9D%82%E4%BB%98%E8%BF%91","鈴鹿市国府町赤坂付近")</f>
        <v>鈴鹿市国府町赤坂付近</v>
      </c>
      <c r="N125" s="19" t="s">
        <v>192</v>
      </c>
      <c r="O125" s="19" t="s">
        <v>193</v>
      </c>
      <c r="P125" s="20" t="str">
        <f t="shared" si="1"/>
        <v>古典に出てくる亀山／物語／古代の話</v>
      </c>
      <c r="Q125" s="21" t="str">
        <f>HYPERLINK("http:/kameyamarekihaku.jp/sisi/tuusiHP_next/tuusi-index.html#kochuusei0401","市史通史編 原始・古代・中世第4章第1節")</f>
        <v>市史通史編 原始・古代・中世第4章第1節</v>
      </c>
      <c r="R125" s="316"/>
    </row>
    <row r="126" spans="1:18" s="6" customFormat="1" ht="61.5" customHeight="1" x14ac:dyDescent="0.15">
      <c r="A126" s="26"/>
      <c r="B126" s="26"/>
      <c r="C126" s="59"/>
      <c r="D126" s="59"/>
      <c r="E126" s="26"/>
      <c r="F126" s="59"/>
      <c r="G126" s="77"/>
      <c r="H126" s="26"/>
      <c r="I126" s="26"/>
      <c r="J126" s="78"/>
      <c r="K126" s="79"/>
      <c r="L126" s="26"/>
      <c r="M126" s="76" t="str">
        <f>HYPERLINK("http:/kameyamarekihaku.jp/sisi/tuusiHP_next/kochuusei/image/03/gi.htm?pf=1104sh061.JPG&amp;?pn=%E8%81%96%E6%AD%A6%E5%A4%A9%E7%9A%87%E9%96%A2%E5%AE%AE%E5%AE%AE%E5%9D%80%E7%A2%91","聖武天皇関宮宮址碑／津市白山町川口")</f>
        <v>聖武天皇関宮宮址碑／津市白山町川口</v>
      </c>
      <c r="N126" s="19" t="s">
        <v>298</v>
      </c>
      <c r="O126" s="19" t="s">
        <v>299</v>
      </c>
      <c r="P126" s="20" t="str">
        <f t="shared" si="1"/>
        <v>日本の歴史の中の亀山／古代の亀山／古代国家のあゆみと亀山／律令国家の成立と亀山／古代の道と聖武天皇</v>
      </c>
      <c r="Q126" s="21" t="str">
        <f>HYPERLINK("http://www.kameyamarekihaku.jp/sisi/seckam3/Data5/izanagi_01.html","市史考古分野（各コンテンツ）「歴史へのいざない　鈴鹿関」")</f>
        <v>市史考古分野（各コンテンツ）「歴史へのいざない　鈴鹿関」</v>
      </c>
      <c r="R126" s="316"/>
    </row>
    <row r="127" spans="1:18" s="6" customFormat="1" x14ac:dyDescent="0.15">
      <c r="A127" s="11" t="s">
        <v>238</v>
      </c>
      <c r="B127" s="11">
        <v>8</v>
      </c>
      <c r="C127" s="61" t="s">
        <v>300</v>
      </c>
      <c r="D127" s="61">
        <v>743</v>
      </c>
      <c r="E127" s="11" t="s">
        <v>20</v>
      </c>
      <c r="F127" s="61" t="s">
        <v>301</v>
      </c>
      <c r="G127" s="61"/>
      <c r="H127" s="61"/>
      <c r="I127" s="61"/>
      <c r="J127" s="61"/>
      <c r="K127" s="14"/>
      <c r="L127" s="11"/>
      <c r="M127" s="11"/>
      <c r="N127" s="12"/>
      <c r="O127" s="12" t="e">
        <v>#VALUE!</v>
      </c>
      <c r="P127" s="13" t="str">
        <f t="shared" si="1"/>
        <v/>
      </c>
      <c r="Q127" s="63"/>
      <c r="R127" s="11" t="s">
        <v>302</v>
      </c>
    </row>
    <row r="128" spans="1:18" s="6" customFormat="1" ht="32.25" customHeight="1" x14ac:dyDescent="0.15">
      <c r="A128" s="11" t="s">
        <v>238</v>
      </c>
      <c r="B128" s="11">
        <v>8</v>
      </c>
      <c r="C128" s="61" t="s">
        <v>303</v>
      </c>
      <c r="D128" s="61">
        <v>747</v>
      </c>
      <c r="E128" s="11" t="s">
        <v>20</v>
      </c>
      <c r="F128" s="61"/>
      <c r="G128" s="61" t="s">
        <v>304</v>
      </c>
      <c r="H128" s="61" t="s">
        <v>305</v>
      </c>
      <c r="I128" s="61" t="s">
        <v>306</v>
      </c>
      <c r="J128" s="61"/>
      <c r="K128" s="61" t="s">
        <v>307</v>
      </c>
      <c r="L128" s="11"/>
      <c r="M128" s="11"/>
      <c r="N128" s="12" t="s">
        <v>213</v>
      </c>
      <c r="O128" s="12" t="s">
        <v>105</v>
      </c>
      <c r="P128" s="13" t="str">
        <f t="shared" si="1"/>
        <v>古典に出てくる亀山／旅</v>
      </c>
      <c r="Q128" s="63"/>
      <c r="R128" s="11" t="s">
        <v>273</v>
      </c>
    </row>
    <row r="129" spans="1:18" s="6" customFormat="1" x14ac:dyDescent="0.15">
      <c r="A129" s="11" t="s">
        <v>238</v>
      </c>
      <c r="B129" s="11">
        <v>8</v>
      </c>
      <c r="C129" s="61" t="s">
        <v>303</v>
      </c>
      <c r="D129" s="61">
        <v>747</v>
      </c>
      <c r="E129" s="11" t="s">
        <v>20</v>
      </c>
      <c r="F129" s="61"/>
      <c r="G129" s="61" t="s">
        <v>308</v>
      </c>
      <c r="H129" s="61"/>
      <c r="I129" s="61"/>
      <c r="J129" s="61"/>
      <c r="K129" s="61"/>
      <c r="L129" s="11"/>
      <c r="M129" s="11"/>
      <c r="N129" s="12"/>
      <c r="O129" s="12" t="e">
        <v>#VALUE!</v>
      </c>
      <c r="P129" s="13" t="str">
        <f t="shared" si="1"/>
        <v/>
      </c>
      <c r="Q129" s="63"/>
      <c r="R129" s="11" t="s">
        <v>302</v>
      </c>
    </row>
    <row r="130" spans="1:18" s="6" customFormat="1" ht="27" x14ac:dyDescent="0.15">
      <c r="A130" s="11" t="s">
        <v>238</v>
      </c>
      <c r="B130" s="11">
        <v>8</v>
      </c>
      <c r="C130" s="61" t="s">
        <v>309</v>
      </c>
      <c r="D130" s="61">
        <v>752</v>
      </c>
      <c r="E130" s="11" t="s">
        <v>34</v>
      </c>
      <c r="F130" s="61" t="s">
        <v>310</v>
      </c>
      <c r="G130" s="61"/>
      <c r="H130" s="61"/>
      <c r="I130" s="61"/>
      <c r="J130" s="61"/>
      <c r="K130" s="61"/>
      <c r="L130" s="11"/>
      <c r="M130" s="11"/>
      <c r="N130" s="12"/>
      <c r="O130" s="12" t="e">
        <v>#VALUE!</v>
      </c>
      <c r="P130" s="13" t="str">
        <f t="shared" si="1"/>
        <v/>
      </c>
      <c r="Q130" s="63"/>
      <c r="R130" s="11"/>
    </row>
    <row r="131" spans="1:18" s="6" customFormat="1" ht="27" x14ac:dyDescent="0.15">
      <c r="A131" s="11" t="s">
        <v>238</v>
      </c>
      <c r="B131" s="11">
        <v>8</v>
      </c>
      <c r="C131" s="61" t="s">
        <v>311</v>
      </c>
      <c r="D131" s="61">
        <v>753</v>
      </c>
      <c r="E131" s="11" t="s">
        <v>20</v>
      </c>
      <c r="F131" s="61"/>
      <c r="G131" s="61" t="s">
        <v>312</v>
      </c>
      <c r="H131" s="61"/>
      <c r="I131" s="61"/>
      <c r="J131" s="61"/>
      <c r="K131" s="61"/>
      <c r="L131" s="11"/>
      <c r="M131" s="11"/>
      <c r="N131" s="42"/>
      <c r="O131" s="19" t="e">
        <v>#VALUE!</v>
      </c>
      <c r="P131" s="20" t="str">
        <f t="shared" ref="P131:P194" si="2">IFERROR(HYPERLINK(O131,N131),"")</f>
        <v/>
      </c>
      <c r="Q131" s="76" t="str">
        <f>HYPERLINK("http:/kameyamarekihaku.jp/sisi/tuusiHP_next/tuusi-index.html#kochuusei0302","市史通史編 原始・古代・中世第3章第2節第1項")</f>
        <v>市史通史編 原始・古代・中世第3章第2節第1項</v>
      </c>
      <c r="R131" s="11" t="s">
        <v>313</v>
      </c>
    </row>
    <row r="132" spans="1:18" s="6" customFormat="1" ht="15" customHeight="1" x14ac:dyDescent="0.15">
      <c r="A132" s="15" t="s">
        <v>238</v>
      </c>
      <c r="B132" s="15">
        <v>8</v>
      </c>
      <c r="C132" s="333" t="s">
        <v>314</v>
      </c>
      <c r="D132" s="62">
        <v>756</v>
      </c>
      <c r="E132" s="15" t="s">
        <v>20</v>
      </c>
      <c r="F132" s="62"/>
      <c r="G132" s="330" t="s">
        <v>315</v>
      </c>
      <c r="H132" s="62" t="s">
        <v>199</v>
      </c>
      <c r="I132" s="62" t="s">
        <v>200</v>
      </c>
      <c r="J132" s="80" t="s">
        <v>201</v>
      </c>
      <c r="K132" s="62"/>
      <c r="M132" s="21" t="str">
        <f>HYPERLINK("http://kameyamarekihaku.jp/sisi/koukoHP/archives/suzukaseki1/01/01-07/gi.html?pf=SKS10107-07-037.jpg&amp;pn=%E9%88%B4%E9%B9%BF%E9%96%A2%E8%B7%A1%E7%AC%AC%E4%B8%80%E6%AC%A1%E7%99%BA%E6%8E%98%E8%AA%BF%E6%9F%BB%0A","鈴鹿関西城壁跡")</f>
        <v>鈴鹿関西城壁跡</v>
      </c>
      <c r="N132" s="310" t="s">
        <v>286</v>
      </c>
      <c r="O132" s="310" t="s">
        <v>287</v>
      </c>
      <c r="P132" s="311" t="str">
        <f t="shared" si="2"/>
        <v>日本の歴史の中の亀山／古代の亀山／古代国家のあゆみと亀山／律令国家の成立と亀山／古代の関所</v>
      </c>
      <c r="Q132" s="71" t="str">
        <f>HYPERLINK("http:/kameyamarekihaku.jp/suzukanoseki/gi/gi.htm?pf=zu1.jpg&amp;pn=%E5%8F%A4%E4%BB%A3%E4%B8%89%E9%96%A2%E4%BD%8D%E7%BD%AE%E5%9B%B3","古代三関位置図")</f>
        <v>古代三関位置図</v>
      </c>
      <c r="R132" s="298" t="s">
        <v>288</v>
      </c>
    </row>
    <row r="133" spans="1:18" s="6" customFormat="1" ht="15" customHeight="1" x14ac:dyDescent="0.15">
      <c r="A133" s="26"/>
      <c r="B133" s="26"/>
      <c r="C133" s="334"/>
      <c r="D133" s="59"/>
      <c r="E133" s="26"/>
      <c r="F133" s="59"/>
      <c r="G133" s="331"/>
      <c r="H133" s="59"/>
      <c r="I133" s="59"/>
      <c r="J133" s="39"/>
      <c r="K133" s="59"/>
      <c r="L133" s="27"/>
      <c r="M133" s="21"/>
      <c r="N133" s="317"/>
      <c r="O133" s="317" t="e">
        <v>#VALUE!</v>
      </c>
      <c r="P133" s="318" t="str">
        <f t="shared" si="2"/>
        <v/>
      </c>
      <c r="Q133" s="27" t="str">
        <f>HYPERLINK("http://kameyamarekihaku.jp/sisi/tuusiHP_next/kochuusei/image/04/gi.htm?pf=1151sh081-1.JPG&amp;?pn=%E5%9F%8E%E5%B1%B1%E3%81%8B%E3%82%89%E9%88%B4%E9%B9%BF%E9%96%A2%E4%B8%AD%E5%BF%83%E9%83%A8%E3%82%92%E6%9C%9B%E3%82%80","鈴鹿関３D復原図")</f>
        <v>鈴鹿関３D復原図</v>
      </c>
      <c r="R133" s="316"/>
    </row>
    <row r="134" spans="1:18" s="6" customFormat="1" ht="30" customHeight="1" x14ac:dyDescent="0.15">
      <c r="A134" s="26"/>
      <c r="B134" s="26"/>
      <c r="C134" s="334"/>
      <c r="D134" s="59"/>
      <c r="E134" s="26"/>
      <c r="F134" s="59"/>
      <c r="G134" s="331"/>
      <c r="H134" s="59"/>
      <c r="I134" s="59"/>
      <c r="J134" s="39"/>
      <c r="K134" s="59"/>
      <c r="L134" s="27"/>
      <c r="M134" s="26"/>
      <c r="N134" s="317"/>
      <c r="O134" s="317" t="e">
        <v>#VALUE!</v>
      </c>
      <c r="P134" s="318" t="str">
        <f t="shared" si="2"/>
        <v/>
      </c>
      <c r="Q134" s="21" t="str">
        <f>HYPERLINK("http:/kameyamarekihaku.jp/suzukanoseki/shousai.html","過去の常設展示～鈴鹿関を探る")</f>
        <v>過去の常設展示～鈴鹿関を探る</v>
      </c>
      <c r="R134" s="316"/>
    </row>
    <row r="135" spans="1:18" s="6" customFormat="1" ht="30" customHeight="1" x14ac:dyDescent="0.15">
      <c r="A135" s="26"/>
      <c r="B135" s="26"/>
      <c r="C135" s="334"/>
      <c r="D135" s="59"/>
      <c r="E135" s="26"/>
      <c r="F135" s="59"/>
      <c r="G135" s="331"/>
      <c r="H135" s="59"/>
      <c r="I135" s="59"/>
      <c r="J135" s="39"/>
      <c r="K135" s="59"/>
      <c r="L135" s="27"/>
      <c r="M135" s="26"/>
      <c r="N135" s="317" t="s">
        <v>289</v>
      </c>
      <c r="O135" s="317" t="s">
        <v>206</v>
      </c>
      <c r="P135" s="318" t="str">
        <f t="shared" si="2"/>
        <v>亀山のいいとこさがし／景色のよいところや歴史を知る手掛かりとなるもの／歴史上の場所／鈴鹿関跡（２）</v>
      </c>
      <c r="Q135" s="21" t="str">
        <f>HYPERLINK("http://www.kameyamarekihaku.jp/sisi/seckam3/Data5/izanagi_01.html","市史考古分野（各コンテンツ）「歴史へのいざない　鈴鹿関」")</f>
        <v>市史考古分野（各コンテンツ）「歴史へのいざない　鈴鹿関」</v>
      </c>
      <c r="R135" s="316"/>
    </row>
    <row r="136" spans="1:18" s="6" customFormat="1" x14ac:dyDescent="0.15">
      <c r="A136" s="26"/>
      <c r="B136" s="26"/>
      <c r="C136" s="334"/>
      <c r="D136" s="59"/>
      <c r="E136" s="26"/>
      <c r="F136" s="59"/>
      <c r="G136" s="331"/>
      <c r="H136" s="59"/>
      <c r="I136" s="59"/>
      <c r="J136" s="39"/>
      <c r="K136" s="59"/>
      <c r="L136" s="26"/>
      <c r="M136" s="26"/>
      <c r="N136" s="317"/>
      <c r="O136" s="317" t="e">
        <v>#VALUE!</v>
      </c>
      <c r="P136" s="318" t="str">
        <f t="shared" si="2"/>
        <v/>
      </c>
      <c r="Q136" s="21" t="str">
        <f>HYPERLINK("http:/kameyamarekihaku.jp/sisi/KoukoHP/dai7sho.html","市史考古編第7章")</f>
        <v>市史考古編第7章</v>
      </c>
      <c r="R136" s="316"/>
    </row>
    <row r="137" spans="1:18" s="6" customFormat="1" ht="30" customHeight="1" x14ac:dyDescent="0.15">
      <c r="A137" s="26"/>
      <c r="B137" s="26"/>
      <c r="C137" s="334"/>
      <c r="D137" s="59"/>
      <c r="E137" s="26"/>
      <c r="F137" s="59"/>
      <c r="G137" s="331"/>
      <c r="H137" s="59"/>
      <c r="I137" s="59"/>
      <c r="J137" s="39"/>
      <c r="K137" s="59"/>
      <c r="L137" s="26"/>
      <c r="M137" s="26"/>
      <c r="N137" s="19"/>
      <c r="O137" s="19" t="e">
        <v>#VALUE!</v>
      </c>
      <c r="P137" s="20" t="str">
        <f t="shared" si="2"/>
        <v/>
      </c>
      <c r="Q137" s="21" t="str">
        <f>HYPERLINK("http:/kameyamarekihaku.jp/sisi/tuusiHP_next/tuusi-index.html#kochuusei0402","市史通史編 原始・古代・中世第4章第2節")</f>
        <v>市史通史編 原始・古代・中世第4章第2節</v>
      </c>
      <c r="R137" s="316"/>
    </row>
    <row r="138" spans="1:18" s="67" customFormat="1" x14ac:dyDescent="0.15">
      <c r="A138" s="7"/>
      <c r="B138" s="7"/>
      <c r="C138" s="335"/>
      <c r="D138" s="60"/>
      <c r="E138" s="7"/>
      <c r="F138" s="60"/>
      <c r="G138" s="336"/>
      <c r="H138" s="60"/>
      <c r="I138" s="60"/>
      <c r="J138" s="18"/>
      <c r="K138" s="60"/>
      <c r="L138" s="7"/>
      <c r="M138" s="7"/>
      <c r="N138" s="29"/>
      <c r="O138" s="29" t="e">
        <v>#VALUE!</v>
      </c>
      <c r="P138" s="30" t="str">
        <f t="shared" si="2"/>
        <v/>
      </c>
      <c r="Q138" s="10" t="str">
        <f>HYPERLINK("http:/kameyamarekihaku.jp/sisi/KoukoHP/iseki.html","市史考古編遺跡一覧N0.34")</f>
        <v>市史考古編遺跡一覧N0.34</v>
      </c>
      <c r="R138" s="299"/>
    </row>
    <row r="139" spans="1:18" s="6" customFormat="1" ht="30" customHeight="1" x14ac:dyDescent="0.15">
      <c r="A139" s="11" t="s">
        <v>238</v>
      </c>
      <c r="B139" s="11">
        <v>8</v>
      </c>
      <c r="C139" s="61" t="s">
        <v>316</v>
      </c>
      <c r="D139" s="61">
        <v>756</v>
      </c>
      <c r="E139" s="11" t="s">
        <v>34</v>
      </c>
      <c r="F139" s="61" t="s">
        <v>317</v>
      </c>
      <c r="G139" s="61"/>
      <c r="H139" s="61"/>
      <c r="I139" s="61"/>
      <c r="J139" s="61"/>
      <c r="K139" s="61"/>
      <c r="L139" s="11"/>
      <c r="M139" s="11"/>
      <c r="N139" s="19"/>
      <c r="O139" s="19" t="e">
        <v>#VALUE!</v>
      </c>
      <c r="P139" s="20" t="str">
        <f t="shared" si="2"/>
        <v/>
      </c>
      <c r="Q139" s="21" t="str">
        <f>HYPERLINK("http:/kameyamarekihaku.jp/sisi/tuusiHP_next/tuusi-index.html#kochuusei0302","市史通史編 原始・古代・中世第3章第2節")</f>
        <v>市史通史編 原始・古代・中世第3章第2節</v>
      </c>
      <c r="R139" s="11" t="s">
        <v>83</v>
      </c>
    </row>
    <row r="140" spans="1:18" s="6" customFormat="1" ht="27" x14ac:dyDescent="0.15">
      <c r="A140" s="11" t="s">
        <v>238</v>
      </c>
      <c r="B140" s="11">
        <v>8</v>
      </c>
      <c r="C140" s="61" t="s">
        <v>318</v>
      </c>
      <c r="D140" s="61">
        <v>760</v>
      </c>
      <c r="E140" s="11" t="s">
        <v>20</v>
      </c>
      <c r="F140" s="61"/>
      <c r="G140" s="61" t="s">
        <v>319</v>
      </c>
      <c r="H140" s="61"/>
      <c r="I140" s="61"/>
      <c r="J140" s="61"/>
      <c r="K140" s="61"/>
      <c r="L140" s="11"/>
      <c r="M140" s="11"/>
      <c r="N140" s="12"/>
      <c r="O140" s="12" t="e">
        <v>#VALUE!</v>
      </c>
      <c r="P140" s="13" t="str">
        <f t="shared" si="2"/>
        <v/>
      </c>
      <c r="Q140" s="63"/>
      <c r="R140" s="11" t="s">
        <v>302</v>
      </c>
    </row>
    <row r="141" spans="1:18" s="6" customFormat="1" ht="27" x14ac:dyDescent="0.15">
      <c r="A141" s="11" t="s">
        <v>238</v>
      </c>
      <c r="B141" s="11">
        <v>8</v>
      </c>
      <c r="C141" s="61" t="s">
        <v>320</v>
      </c>
      <c r="D141" s="61">
        <v>762</v>
      </c>
      <c r="E141" s="11" t="s">
        <v>20</v>
      </c>
      <c r="F141" s="61"/>
      <c r="G141" s="61" t="s">
        <v>321</v>
      </c>
      <c r="H141" s="61"/>
      <c r="I141" s="61"/>
      <c r="J141" s="61"/>
      <c r="K141" s="61"/>
      <c r="L141" s="11"/>
      <c r="M141" s="11"/>
      <c r="N141" s="12"/>
      <c r="O141" s="12" t="e">
        <v>#VALUE!</v>
      </c>
      <c r="P141" s="13" t="str">
        <f t="shared" si="2"/>
        <v/>
      </c>
      <c r="Q141" s="63"/>
      <c r="R141" s="11" t="s">
        <v>302</v>
      </c>
    </row>
    <row r="142" spans="1:18" s="6" customFormat="1" ht="15.75" customHeight="1" x14ac:dyDescent="0.15">
      <c r="A142" s="15" t="s">
        <v>238</v>
      </c>
      <c r="B142" s="15">
        <v>8</v>
      </c>
      <c r="C142" s="62" t="s">
        <v>322</v>
      </c>
      <c r="D142" s="62">
        <v>764</v>
      </c>
      <c r="E142" s="15" t="s">
        <v>20</v>
      </c>
      <c r="F142" s="62"/>
      <c r="G142" s="327" t="s">
        <v>323</v>
      </c>
      <c r="H142" s="62" t="s">
        <v>199</v>
      </c>
      <c r="I142" s="62" t="s">
        <v>200</v>
      </c>
      <c r="J142" s="37" t="s">
        <v>201</v>
      </c>
      <c r="K142" s="62"/>
      <c r="L142" s="15"/>
      <c r="M142" s="21" t="str">
        <f>HYPERLINK("http://kameyamarekihaku.jp/sisi/koukoHP/archives/suzukaseki1/01/01-07/gi.html?pf=SKS10107-07-037.jpg&amp;pn=%E9%88%B4%E9%B9%BF%E9%96%A2%E8%B7%A1%E7%AC%AC%E4%B8%80%E6%AC%A1%E7%99%BA%E6%8E%98%E8%AA%BF%E6%9F%BB%0A","鈴鹿関西城壁跡")</f>
        <v>鈴鹿関西城壁跡</v>
      </c>
      <c r="N142" s="310" t="s">
        <v>324</v>
      </c>
      <c r="O142" s="310" t="s">
        <v>287</v>
      </c>
      <c r="P142" s="311" t="str">
        <f t="shared" si="2"/>
        <v>日本の歴史の中の亀山／古代の亀山／古代国家のあゆみと亀山／律令国家の成立と亀山／古代の関所</v>
      </c>
      <c r="Q142" s="71" t="str">
        <f>HYPERLINK("http:/kameyamarekihaku.jp/suzukanoseki/gi/gi.htm?pf=zu1.jpg&amp;pn=%E5%8F%A4%E4%BB%A3%E4%B8%89%E9%96%A2%E4%BD%8D%E7%BD%AE%E5%9B%B3","古代三関位置図")</f>
        <v>古代三関位置図</v>
      </c>
      <c r="R142" s="298" t="s">
        <v>325</v>
      </c>
    </row>
    <row r="143" spans="1:18" s="6" customFormat="1" ht="30.75" customHeight="1" x14ac:dyDescent="0.15">
      <c r="A143" s="26"/>
      <c r="B143" s="26"/>
      <c r="C143" s="59"/>
      <c r="D143" s="59"/>
      <c r="E143" s="26"/>
      <c r="F143" s="59"/>
      <c r="G143" s="328"/>
      <c r="H143" s="59"/>
      <c r="I143" s="59"/>
      <c r="J143" s="39"/>
      <c r="K143" s="59"/>
      <c r="L143" s="26"/>
      <c r="M143" s="26"/>
      <c r="N143" s="317"/>
      <c r="O143" s="317" t="e">
        <v>#VALUE!</v>
      </c>
      <c r="P143" s="318" t="str">
        <f t="shared" si="2"/>
        <v/>
      </c>
      <c r="Q143" s="21" t="str">
        <f>HYPERLINK("http:/kameyamarekihaku.jp/suzukanoseki/shousai.html","過去の常設展示～鈴鹿関を探る")</f>
        <v>過去の常設展示～鈴鹿関を探る</v>
      </c>
      <c r="R143" s="316"/>
    </row>
    <row r="144" spans="1:18" s="6" customFormat="1" ht="30.75" customHeight="1" x14ac:dyDescent="0.15">
      <c r="A144" s="26"/>
      <c r="B144" s="26"/>
      <c r="C144" s="59"/>
      <c r="D144" s="59"/>
      <c r="E144" s="26"/>
      <c r="F144" s="59"/>
      <c r="G144" s="59"/>
      <c r="H144" s="59"/>
      <c r="I144" s="59"/>
      <c r="J144" s="39"/>
      <c r="K144" s="59"/>
      <c r="L144" s="26"/>
      <c r="M144" s="26"/>
      <c r="N144" s="317" t="s">
        <v>289</v>
      </c>
      <c r="O144" s="317" t="s">
        <v>206</v>
      </c>
      <c r="P144" s="318" t="str">
        <f t="shared" si="2"/>
        <v>亀山のいいとこさがし／景色のよいところや歴史を知る手掛かりとなるもの／歴史上の場所／鈴鹿関跡（２）</v>
      </c>
      <c r="Q144" s="21" t="str">
        <f>HYPERLINK("http://www.kameyamarekihaku.jp/sisi/seckam3/Data5/izanagi_01.html","市史考古分野（各コンテンツ）「歴史へのいざない　鈴鹿関」")</f>
        <v>市史考古分野（各コンテンツ）「歴史へのいざない　鈴鹿関」</v>
      </c>
      <c r="R144" s="316"/>
    </row>
    <row r="145" spans="1:18" s="6" customFormat="1" ht="15.75" customHeight="1" x14ac:dyDescent="0.15">
      <c r="A145" s="26"/>
      <c r="B145" s="26"/>
      <c r="C145" s="59"/>
      <c r="D145" s="59"/>
      <c r="E145" s="26"/>
      <c r="F145" s="59"/>
      <c r="G145" s="59"/>
      <c r="H145" s="59"/>
      <c r="I145" s="59"/>
      <c r="J145" s="39"/>
      <c r="K145" s="59"/>
      <c r="L145" s="26"/>
      <c r="M145" s="26"/>
      <c r="N145" s="317"/>
      <c r="O145" s="317" t="e">
        <v>#VALUE!</v>
      </c>
      <c r="P145" s="318" t="str">
        <f t="shared" si="2"/>
        <v/>
      </c>
      <c r="Q145" s="21" t="str">
        <f>HYPERLINK("http:/kameyamarekihaku.jp/sisi/KoukoHP/dai7sho.html","市史考古編第7章")</f>
        <v>市史考古編第7章</v>
      </c>
      <c r="R145" s="316"/>
    </row>
    <row r="146" spans="1:18" s="6" customFormat="1" ht="17.25" customHeight="1" x14ac:dyDescent="0.15">
      <c r="A146" s="7"/>
      <c r="B146" s="7"/>
      <c r="C146" s="60"/>
      <c r="D146" s="60"/>
      <c r="E146" s="7"/>
      <c r="F146" s="60"/>
      <c r="G146" s="60"/>
      <c r="H146" s="60"/>
      <c r="I146" s="60"/>
      <c r="J146" s="72"/>
      <c r="K146" s="60"/>
      <c r="L146" s="7"/>
      <c r="M146" s="7"/>
      <c r="N146" s="19"/>
      <c r="O146" s="19" t="e">
        <v>#VALUE!</v>
      </c>
      <c r="P146" s="20" t="str">
        <f t="shared" si="2"/>
        <v/>
      </c>
      <c r="Q146" s="21" t="str">
        <f>HYPERLINK("http:/kameyamarekihaku.jp/sisi/KoukoHP/iseki.html","市史考古編遺跡一覧N0.34")</f>
        <v>市史考古編遺跡一覧N0.34</v>
      </c>
      <c r="R146" s="299"/>
    </row>
    <row r="147" spans="1:18" s="6" customFormat="1" ht="46.5" customHeight="1" x14ac:dyDescent="0.15">
      <c r="A147" s="11" t="s">
        <v>238</v>
      </c>
      <c r="B147" s="11">
        <v>8</v>
      </c>
      <c r="C147" s="61" t="s">
        <v>326</v>
      </c>
      <c r="D147" s="61">
        <v>765</v>
      </c>
      <c r="E147" s="11" t="s">
        <v>20</v>
      </c>
      <c r="F147" s="61"/>
      <c r="G147" s="61" t="s">
        <v>327</v>
      </c>
      <c r="H147" s="61" t="s">
        <v>199</v>
      </c>
      <c r="I147" s="61" t="s">
        <v>200</v>
      </c>
      <c r="J147" s="37" t="s">
        <v>201</v>
      </c>
      <c r="K147" s="61"/>
      <c r="L147" s="11"/>
      <c r="M147" s="11"/>
      <c r="N147" s="81" t="s">
        <v>289</v>
      </c>
      <c r="O147" s="23" t="s">
        <v>206</v>
      </c>
      <c r="P147" s="24" t="str">
        <f t="shared" si="2"/>
        <v>亀山のいいとこさがし／景色のよいところや歴史を知る手掛かりとなるもの／歴史上の場所／鈴鹿関跡（２）</v>
      </c>
      <c r="Q147" s="82"/>
      <c r="R147" s="11" t="s">
        <v>273</v>
      </c>
    </row>
    <row r="148" spans="1:18" s="6" customFormat="1" ht="17.25" customHeight="1" x14ac:dyDescent="0.15">
      <c r="A148" s="15" t="s">
        <v>238</v>
      </c>
      <c r="B148" s="15">
        <v>8</v>
      </c>
      <c r="C148" s="62" t="s">
        <v>326</v>
      </c>
      <c r="D148" s="62">
        <v>765</v>
      </c>
      <c r="E148" s="15" t="s">
        <v>20</v>
      </c>
      <c r="F148" s="62"/>
      <c r="G148" s="327" t="s">
        <v>328</v>
      </c>
      <c r="H148" s="62" t="s">
        <v>199</v>
      </c>
      <c r="I148" s="62" t="s">
        <v>200</v>
      </c>
      <c r="J148" s="37" t="s">
        <v>201</v>
      </c>
      <c r="K148" s="62"/>
      <c r="L148" s="15"/>
      <c r="M148" s="21" t="str">
        <f>HYPERLINK("http://kameyamarekihaku.jp/sisi/koukoHP/archives/suzukaseki1/01/01-07/gi.html?pf=SKS10107-07-037.jpg&amp;pn=%E9%88%B4%E9%B9%BF%E9%96%A2%E8%B7%A1%E7%AC%AC%E4%B8%80%E6%AC%A1%E7%99%BA%E6%8E%98%E8%AA%BF%E6%9F%BB%0A","鈴鹿関西城壁跡")</f>
        <v>鈴鹿関西城壁跡</v>
      </c>
      <c r="N148" s="310" t="s">
        <v>329</v>
      </c>
      <c r="O148" s="310" t="s">
        <v>287</v>
      </c>
      <c r="P148" s="311" t="str">
        <f t="shared" si="2"/>
        <v>日本の歴史の中の亀山／古代の亀山／古代国家のあゆみと亀山／律令国家の成立と亀山／古代の関所</v>
      </c>
      <c r="Q148" s="71" t="str">
        <f>HYPERLINK("http:/kameyamarekihaku.jp/suzukanoseki/gi/gi.htm?pf=zu1.jpg&amp;pn=%E5%8F%A4%E4%BB%A3%E4%B8%89%E9%96%A2%E4%BD%8D%E7%BD%AE%E5%9B%B3","古代三関位置図")</f>
        <v>古代三関位置図</v>
      </c>
      <c r="R148" s="298" t="s">
        <v>330</v>
      </c>
    </row>
    <row r="149" spans="1:18" s="6" customFormat="1" ht="30.75" customHeight="1" x14ac:dyDescent="0.15">
      <c r="A149" s="26"/>
      <c r="B149" s="26"/>
      <c r="C149" s="59"/>
      <c r="D149" s="59"/>
      <c r="E149" s="26"/>
      <c r="F149" s="59"/>
      <c r="G149" s="328"/>
      <c r="H149" s="59"/>
      <c r="I149" s="59"/>
      <c r="J149" s="39"/>
      <c r="K149" s="59"/>
      <c r="L149" s="26"/>
      <c r="M149" s="26"/>
      <c r="N149" s="317"/>
      <c r="O149" s="317" t="e">
        <v>#VALUE!</v>
      </c>
      <c r="P149" s="318" t="str">
        <f t="shared" si="2"/>
        <v/>
      </c>
      <c r="Q149" s="21" t="str">
        <f>HYPERLINK("http:/kameyamarekihaku.jp/suzukanoseki/shousai.html","過去の常設展示～鈴鹿関を探る")</f>
        <v>過去の常設展示～鈴鹿関を探る</v>
      </c>
      <c r="R149" s="316"/>
    </row>
    <row r="150" spans="1:18" s="6" customFormat="1" ht="30.75" customHeight="1" x14ac:dyDescent="0.15">
      <c r="A150" s="26"/>
      <c r="B150" s="26"/>
      <c r="C150" s="59"/>
      <c r="D150" s="59"/>
      <c r="E150" s="26"/>
      <c r="F150" s="59"/>
      <c r="G150" s="59"/>
      <c r="H150" s="59"/>
      <c r="I150" s="59"/>
      <c r="J150" s="39"/>
      <c r="K150" s="59"/>
      <c r="L150" s="26"/>
      <c r="M150" s="26"/>
      <c r="N150" s="317" t="s">
        <v>289</v>
      </c>
      <c r="O150" s="317" t="s">
        <v>206</v>
      </c>
      <c r="P150" s="318" t="str">
        <f t="shared" si="2"/>
        <v>亀山のいいとこさがし／景色のよいところや歴史を知る手掛かりとなるもの／歴史上の場所／鈴鹿関跡（２）</v>
      </c>
      <c r="Q150" s="21" t="str">
        <f>HYPERLINK("http://www.kameyamarekihaku.jp/sisi/seckam3/Data5/izanagi_01.html","市史考古分野（各コンテンツ）「歴史へのいざない　鈴鹿関」")</f>
        <v>市史考古分野（各コンテンツ）「歴史へのいざない　鈴鹿関」</v>
      </c>
      <c r="R150" s="316"/>
    </row>
    <row r="151" spans="1:18" s="6" customFormat="1" ht="15.75" customHeight="1" x14ac:dyDescent="0.15">
      <c r="A151" s="26"/>
      <c r="B151" s="26"/>
      <c r="C151" s="59"/>
      <c r="D151" s="59"/>
      <c r="E151" s="26"/>
      <c r="F151" s="59"/>
      <c r="G151" s="59"/>
      <c r="H151" s="59"/>
      <c r="I151" s="59"/>
      <c r="J151" s="39"/>
      <c r="K151" s="59"/>
      <c r="L151" s="26"/>
      <c r="M151" s="26"/>
      <c r="N151" s="317"/>
      <c r="O151" s="317" t="e">
        <v>#VALUE!</v>
      </c>
      <c r="P151" s="318" t="str">
        <f t="shared" si="2"/>
        <v/>
      </c>
      <c r="Q151" s="21" t="str">
        <f>HYPERLINK("http:/kameyamarekihaku.jp/sisi/KoukoHP/dai7sho.html","市史考古編第7章")</f>
        <v>市史考古編第7章</v>
      </c>
      <c r="R151" s="316"/>
    </row>
    <row r="152" spans="1:18" s="6" customFormat="1" ht="15.75" customHeight="1" x14ac:dyDescent="0.15">
      <c r="A152" s="7"/>
      <c r="B152" s="7"/>
      <c r="C152" s="60"/>
      <c r="D152" s="60"/>
      <c r="E152" s="7"/>
      <c r="F152" s="60"/>
      <c r="G152" s="60"/>
      <c r="H152" s="60"/>
      <c r="I152" s="60"/>
      <c r="J152" s="72"/>
      <c r="K152" s="60"/>
      <c r="L152" s="7"/>
      <c r="M152" s="7"/>
      <c r="N152" s="19"/>
      <c r="O152" s="19" t="e">
        <v>#VALUE!</v>
      </c>
      <c r="P152" s="20" t="str">
        <f t="shared" si="2"/>
        <v/>
      </c>
      <c r="Q152" s="21" t="str">
        <f>HYPERLINK("http:/kameyamarekihaku.jp/sisi/KoukoHP/iseki.html","市史考古編遺跡一覧N0.34")</f>
        <v>市史考古編遺跡一覧N0.34</v>
      </c>
      <c r="R152" s="299"/>
    </row>
    <row r="153" spans="1:18" s="6" customFormat="1" ht="27" x14ac:dyDescent="0.15">
      <c r="A153" s="11" t="s">
        <v>238</v>
      </c>
      <c r="B153" s="11">
        <v>8</v>
      </c>
      <c r="C153" s="61" t="s">
        <v>331</v>
      </c>
      <c r="D153" s="61">
        <v>766</v>
      </c>
      <c r="E153" s="11" t="s">
        <v>20</v>
      </c>
      <c r="F153" s="61"/>
      <c r="G153" s="61" t="s">
        <v>332</v>
      </c>
      <c r="H153" s="61"/>
      <c r="I153" s="61"/>
      <c r="J153" s="61"/>
      <c r="K153" s="61"/>
      <c r="L153" s="11"/>
      <c r="M153" s="11"/>
      <c r="N153" s="12"/>
      <c r="O153" s="12" t="e">
        <v>#VALUE!</v>
      </c>
      <c r="P153" s="13" t="str">
        <f t="shared" si="2"/>
        <v/>
      </c>
      <c r="Q153" s="63"/>
      <c r="R153" s="11" t="s">
        <v>273</v>
      </c>
    </row>
    <row r="154" spans="1:18" s="6" customFormat="1" ht="16.5" customHeight="1" x14ac:dyDescent="0.15">
      <c r="A154" s="15" t="s">
        <v>238</v>
      </c>
      <c r="B154" s="15">
        <v>8</v>
      </c>
      <c r="C154" s="62" t="s">
        <v>333</v>
      </c>
      <c r="D154" s="62">
        <v>770</v>
      </c>
      <c r="E154" s="15" t="s">
        <v>20</v>
      </c>
      <c r="F154" s="62"/>
      <c r="G154" s="327" t="s">
        <v>334</v>
      </c>
      <c r="H154" s="62" t="s">
        <v>199</v>
      </c>
      <c r="I154" s="62" t="s">
        <v>200</v>
      </c>
      <c r="J154" s="37" t="s">
        <v>201</v>
      </c>
      <c r="K154" s="62"/>
      <c r="L154" s="15"/>
      <c r="M154" s="21" t="str">
        <f>HYPERLINK("http://kameyamarekihaku.jp/sisi/koukoHP/archives/suzukaseki1/01/01-07/gi.html?pf=SKS10107-07-037.jpg&amp;pn=%E9%88%B4%E9%B9%BF%E9%96%A2%E8%B7%A1%E7%AC%AC%E4%B8%80%E6%AC%A1%E7%99%BA%E6%8E%98%E8%AA%BF%E6%9F%BB%0A","鈴鹿関西城壁跡")</f>
        <v>鈴鹿関西城壁跡</v>
      </c>
      <c r="N154" s="310" t="s">
        <v>335</v>
      </c>
      <c r="O154" s="310" t="s">
        <v>287</v>
      </c>
      <c r="P154" s="311" t="str">
        <f t="shared" si="2"/>
        <v>日本の歴史の中の亀山／古代の亀山／古代国家のあゆみと亀山／律令国家の成立と亀山／古代の関所</v>
      </c>
      <c r="Q154" s="71" t="str">
        <f>HYPERLINK("http:/kameyamarekihaku.jp/suzukanoseki/gi/gi.htm?pf=zu1.jpg&amp;pn=%E5%8F%A4%E4%BB%A3%E4%B8%89%E9%96%A2%E4%BD%8D%E7%BD%AE%E5%9B%B3","古代三関位置図")</f>
        <v>古代三関位置図</v>
      </c>
      <c r="R154" s="298" t="s">
        <v>336</v>
      </c>
    </row>
    <row r="155" spans="1:18" s="6" customFormat="1" ht="30" customHeight="1" x14ac:dyDescent="0.15">
      <c r="A155" s="26"/>
      <c r="B155" s="26"/>
      <c r="C155" s="59"/>
      <c r="D155" s="59"/>
      <c r="E155" s="26"/>
      <c r="F155" s="59"/>
      <c r="G155" s="328"/>
      <c r="H155" s="59"/>
      <c r="I155" s="59"/>
      <c r="J155" s="39"/>
      <c r="K155" s="59"/>
      <c r="L155" s="26"/>
      <c r="M155" s="26"/>
      <c r="N155" s="317"/>
      <c r="O155" s="317" t="e">
        <v>#VALUE!</v>
      </c>
      <c r="P155" s="318" t="str">
        <f t="shared" si="2"/>
        <v/>
      </c>
      <c r="Q155" s="21" t="str">
        <f>HYPERLINK("http:/kameyamarekihaku.jp/suzukanoseki/shousai.html","過去の常設展示～鈴鹿関を探る")</f>
        <v>過去の常設展示～鈴鹿関を探る</v>
      </c>
      <c r="R155" s="316"/>
    </row>
    <row r="156" spans="1:18" s="6" customFormat="1" ht="28.5" customHeight="1" x14ac:dyDescent="0.15">
      <c r="A156" s="26"/>
      <c r="B156" s="26"/>
      <c r="C156" s="59"/>
      <c r="D156" s="59"/>
      <c r="E156" s="26"/>
      <c r="F156" s="59"/>
      <c r="G156" s="59"/>
      <c r="H156" s="59"/>
      <c r="I156" s="59"/>
      <c r="J156" s="39"/>
      <c r="K156" s="59"/>
      <c r="L156" s="26"/>
      <c r="M156" s="26"/>
      <c r="N156" s="317" t="s">
        <v>289</v>
      </c>
      <c r="O156" s="317" t="s">
        <v>206</v>
      </c>
      <c r="P156" s="318" t="str">
        <f t="shared" si="2"/>
        <v>亀山のいいとこさがし／景色のよいところや歴史を知る手掛かりとなるもの／歴史上の場所／鈴鹿関跡（２）</v>
      </c>
      <c r="Q156" s="21" t="str">
        <f>HYPERLINK("http://www.kameyamarekihaku.jp/sisi/seckam3/Data5/izanagi_01.html","市史考古分野（各コンテンツ）「歴史へのいざない　鈴鹿関」")</f>
        <v>市史考古分野（各コンテンツ）「歴史へのいざない　鈴鹿関」</v>
      </c>
      <c r="R156" s="316"/>
    </row>
    <row r="157" spans="1:18" s="6" customFormat="1" ht="15" customHeight="1" x14ac:dyDescent="0.15">
      <c r="A157" s="26"/>
      <c r="B157" s="26"/>
      <c r="C157" s="59"/>
      <c r="D157" s="59"/>
      <c r="E157" s="26"/>
      <c r="F157" s="59"/>
      <c r="G157" s="59"/>
      <c r="H157" s="59"/>
      <c r="I157" s="59"/>
      <c r="J157" s="39"/>
      <c r="K157" s="59"/>
      <c r="L157" s="26"/>
      <c r="M157" s="26"/>
      <c r="N157" s="317"/>
      <c r="O157" s="317" t="e">
        <v>#VALUE!</v>
      </c>
      <c r="P157" s="318" t="str">
        <f t="shared" si="2"/>
        <v/>
      </c>
      <c r="Q157" s="21" t="str">
        <f>HYPERLINK("http:/kameyamarekihaku.jp/sisi/KoukoHP/dai7sho.html","市史考古編第7章")</f>
        <v>市史考古編第7章</v>
      </c>
      <c r="R157" s="316"/>
    </row>
    <row r="158" spans="1:18" s="6" customFormat="1" ht="15" customHeight="1" x14ac:dyDescent="0.15">
      <c r="A158" s="7"/>
      <c r="B158" s="7"/>
      <c r="C158" s="60"/>
      <c r="D158" s="60"/>
      <c r="E158" s="7"/>
      <c r="F158" s="60"/>
      <c r="G158" s="60"/>
      <c r="H158" s="60"/>
      <c r="I158" s="60"/>
      <c r="J158" s="72"/>
      <c r="K158" s="60"/>
      <c r="L158" s="7"/>
      <c r="M158" s="7"/>
      <c r="N158" s="19"/>
      <c r="O158" s="19" t="e">
        <v>#VALUE!</v>
      </c>
      <c r="P158" s="20" t="str">
        <f t="shared" si="2"/>
        <v/>
      </c>
      <c r="Q158" s="21" t="str">
        <f>HYPERLINK("http:/kameyamarekihaku.jp/sisi/KoukoHP/iseki.html","市史考古編遺跡一覧N0.34")</f>
        <v>市史考古編遺跡一覧N0.34</v>
      </c>
      <c r="R158" s="299"/>
    </row>
    <row r="159" spans="1:18" s="6" customFormat="1" ht="27" x14ac:dyDescent="0.15">
      <c r="A159" s="11" t="s">
        <v>238</v>
      </c>
      <c r="B159" s="11">
        <v>8</v>
      </c>
      <c r="C159" s="61" t="s">
        <v>337</v>
      </c>
      <c r="D159" s="61">
        <v>775</v>
      </c>
      <c r="E159" s="11" t="s">
        <v>20</v>
      </c>
      <c r="F159" s="61"/>
      <c r="G159" s="61" t="s">
        <v>338</v>
      </c>
      <c r="H159" s="61"/>
      <c r="I159" s="61"/>
      <c r="J159" s="61"/>
      <c r="K159" s="61"/>
      <c r="L159" s="11"/>
      <c r="M159" s="11"/>
      <c r="N159" s="12"/>
      <c r="O159" s="12" t="e">
        <v>#VALUE!</v>
      </c>
      <c r="P159" s="13" t="str">
        <f t="shared" si="2"/>
        <v/>
      </c>
      <c r="Q159" s="63"/>
      <c r="R159" s="11" t="s">
        <v>273</v>
      </c>
    </row>
    <row r="160" spans="1:18" s="6" customFormat="1" ht="26.25" customHeight="1" x14ac:dyDescent="0.15">
      <c r="A160" s="15" t="s">
        <v>238</v>
      </c>
      <c r="B160" s="15">
        <v>8</v>
      </c>
      <c r="C160" s="62" t="s">
        <v>339</v>
      </c>
      <c r="D160" s="62">
        <v>776</v>
      </c>
      <c r="E160" s="15" t="s">
        <v>20</v>
      </c>
      <c r="F160" s="62"/>
      <c r="G160" s="62" t="s">
        <v>340</v>
      </c>
      <c r="H160" s="62" t="s">
        <v>48</v>
      </c>
      <c r="I160" s="62" t="s">
        <v>240</v>
      </c>
      <c r="J160" s="327" t="s">
        <v>341</v>
      </c>
      <c r="K160" s="62" t="s">
        <v>242</v>
      </c>
      <c r="L160" s="16" t="str">
        <f>HYPERLINK("http://kameyamarekihaku.jp/sisi/tuusiHP_next/kochuusei/image/04/gi.htm?pf=1115sh065.JPG&amp;?pn=%20%E4%BC%8A%E5%8B%A2%E5%9B%BD%E5%BA%9C%E8%B7%A1%E5%87%BA%E5%9C%9F%E9%87%8D%E5%9C%88%E6%96%87%E8%BB%92%E4%B8%B8%E7%93%A6","長者屋敷遺跡出土瓦")</f>
        <v>長者屋敷遺跡出土瓦</v>
      </c>
      <c r="M160" s="16" t="str">
        <f>HYPERLINK("http://kameyamarekihaku.jp/sisi/tuusiHP_next/kochuusei/image/04/gi.htm?pf=1114sh064.JPG&amp;?pn=%E9%95%B7%E8%80%85%E5%B1%8B%E6%95%B7%E8%B7%A1%EF%BC%88%E4%BC%8A%E5%8B%A2%E5%9B%BD%E5%BA%9C%E8%B7%A1%EF%BC%89%E7%99%BA%E6%8E%98%E8%AA%BF%E6%9F%BB","伊勢国府跡")</f>
        <v>伊勢国府跡</v>
      </c>
      <c r="N160" s="310" t="s">
        <v>342</v>
      </c>
      <c r="O160" s="310" t="s">
        <v>343</v>
      </c>
      <c r="P160" s="311" t="str">
        <f t="shared" si="2"/>
        <v>日本の歴史の中の亀山／古代の亀山／古代国家のあゆみと亀山／律令国家の成立と亀山／伊勢国府と国分寺／長者屋敷遺跡</v>
      </c>
      <c r="Q160" s="21" t="str">
        <f>HYPERLINK("http:/kameyamarekihaku.jp/sisi/KoukoHP/iseki.html","市史考古編遺跡一覧N0.35")</f>
        <v>市史考古編遺跡一覧N0.35</v>
      </c>
      <c r="R160" s="298" t="s">
        <v>344</v>
      </c>
    </row>
    <row r="161" spans="1:18" s="6" customFormat="1" ht="30.75" customHeight="1" x14ac:dyDescent="0.15">
      <c r="A161" s="7"/>
      <c r="B161" s="7"/>
      <c r="C161" s="60"/>
      <c r="D161" s="60"/>
      <c r="E161" s="7"/>
      <c r="F161" s="60"/>
      <c r="G161" s="60"/>
      <c r="H161" s="60"/>
      <c r="I161" s="60"/>
      <c r="J161" s="329"/>
      <c r="K161" s="60"/>
      <c r="L161" s="7"/>
      <c r="M161" s="7"/>
      <c r="N161" s="306"/>
      <c r="O161" s="306" t="e">
        <v>#VALUE!</v>
      </c>
      <c r="P161" s="308" t="str">
        <f t="shared" si="2"/>
        <v/>
      </c>
      <c r="Q161" s="10" t="str">
        <f>HYPERLINK("http:/kameyamarekihaku.jp/sisi/tuusiHP_next/tuusi-index.html#kochuusei0401","市史通史編 原始・古代・中世第4章第1節")</f>
        <v>市史通史編 原始・古代・中世第4章第1節</v>
      </c>
      <c r="R161" s="299"/>
    </row>
    <row r="162" spans="1:18" s="6" customFormat="1" ht="30.75" customHeight="1" x14ac:dyDescent="0.15">
      <c r="A162" s="15" t="s">
        <v>238</v>
      </c>
      <c r="B162" s="15">
        <v>8</v>
      </c>
      <c r="C162" s="62" t="s">
        <v>345</v>
      </c>
      <c r="D162" s="62">
        <v>780</v>
      </c>
      <c r="E162" s="15" t="s">
        <v>20</v>
      </c>
      <c r="F162" s="62"/>
      <c r="G162" s="62" t="s">
        <v>346</v>
      </c>
      <c r="H162" s="62" t="s">
        <v>199</v>
      </c>
      <c r="I162" s="62" t="s">
        <v>347</v>
      </c>
      <c r="J162" s="37" t="s">
        <v>201</v>
      </c>
      <c r="K162" s="62"/>
      <c r="L162" s="15"/>
      <c r="M162" s="21" t="str">
        <f>HYPERLINK("http://kameyamarekihaku.jp/sisi/koukoHP/archives/suzukaseki1/01/01-07/gi.html?pf=SKS10107-07-037.jpg&amp;pn=%E9%88%B4%E9%B9%BF%E9%96%A2%E8%B7%A1%E7%AC%AC%E4%B8%80%E6%AC%A1%E7%99%BA%E6%8E%98%E8%AA%BF%E6%9F%BB%0A","鈴鹿関西城壁跡")</f>
        <v>鈴鹿関西城壁跡</v>
      </c>
      <c r="N162" s="42" t="s">
        <v>348</v>
      </c>
      <c r="O162" s="19" t="s">
        <v>349</v>
      </c>
      <c r="P162" s="20" t="str">
        <f t="shared" si="2"/>
        <v>亀山のむかしばなし／こわいはなし／鈴鹿関の怪奇現象</v>
      </c>
      <c r="Q162" s="27"/>
      <c r="R162" s="15" t="s">
        <v>273</v>
      </c>
    </row>
    <row r="163" spans="1:18" s="6" customFormat="1" ht="48.75" customHeight="1" x14ac:dyDescent="0.15">
      <c r="A163" s="7"/>
      <c r="B163" s="7"/>
      <c r="C163" s="60"/>
      <c r="D163" s="60"/>
      <c r="E163" s="7"/>
      <c r="F163" s="60"/>
      <c r="G163" s="60"/>
      <c r="H163" s="60"/>
      <c r="I163" s="60"/>
      <c r="J163" s="72"/>
      <c r="K163" s="60"/>
      <c r="L163" s="7"/>
      <c r="M163" s="10"/>
      <c r="N163" s="53" t="s">
        <v>350</v>
      </c>
      <c r="O163" s="29" t="s">
        <v>206</v>
      </c>
      <c r="P163" s="30" t="str">
        <f t="shared" si="2"/>
        <v>亀山のいいとこさがし／景色のよいところや歴史を知る手掛かりとなるもの／歴史上の場所／鈴鹿関跡（２）</v>
      </c>
      <c r="Q163" s="18"/>
      <c r="R163" s="7"/>
    </row>
    <row r="164" spans="1:18" s="6" customFormat="1" ht="16.5" customHeight="1" x14ac:dyDescent="0.15">
      <c r="A164" s="15" t="s">
        <v>238</v>
      </c>
      <c r="B164" s="15">
        <v>8</v>
      </c>
      <c r="C164" s="62"/>
      <c r="D164" s="62"/>
      <c r="E164" s="15" t="s">
        <v>34</v>
      </c>
      <c r="F164" s="62" t="s">
        <v>351</v>
      </c>
      <c r="G164" s="327" t="s">
        <v>352</v>
      </c>
      <c r="H164" s="62" t="s">
        <v>28</v>
      </c>
      <c r="I164" s="62" t="s">
        <v>353</v>
      </c>
      <c r="J164" s="62" t="s">
        <v>354</v>
      </c>
      <c r="K164" s="62"/>
      <c r="L164" s="298" t="s">
        <v>355</v>
      </c>
      <c r="M164" s="15" t="s">
        <v>356</v>
      </c>
      <c r="N164" s="34" t="s">
        <v>357</v>
      </c>
      <c r="O164" s="34" t="s">
        <v>358</v>
      </c>
      <c r="P164" s="35" t="str">
        <f t="shared" si="2"/>
        <v>古典に出てくる亀山／歌／鈴鹿川</v>
      </c>
      <c r="Q164" s="83"/>
      <c r="R164" s="15" t="s">
        <v>359</v>
      </c>
    </row>
    <row r="165" spans="1:18" s="6" customFormat="1" ht="29.25" customHeight="1" x14ac:dyDescent="0.15">
      <c r="A165" s="26"/>
      <c r="B165" s="26"/>
      <c r="C165" s="59"/>
      <c r="D165" s="59"/>
      <c r="E165" s="26"/>
      <c r="F165" s="59"/>
      <c r="G165" s="328"/>
      <c r="H165" s="59"/>
      <c r="I165" s="59"/>
      <c r="J165" s="59"/>
      <c r="K165" s="59"/>
      <c r="L165" s="316"/>
      <c r="M165" s="26"/>
      <c r="N165" s="84" t="s">
        <v>360</v>
      </c>
      <c r="O165" s="84" t="s">
        <v>101</v>
      </c>
      <c r="P165" s="85" t="str">
        <f t="shared" si="2"/>
        <v>古典に出てくる亀山／歌／そのほかの場所</v>
      </c>
      <c r="Q165" s="70"/>
      <c r="R165" s="26"/>
    </row>
    <row r="166" spans="1:18" s="6" customFormat="1" ht="46.5" customHeight="1" x14ac:dyDescent="0.15">
      <c r="A166" s="26"/>
      <c r="B166" s="26"/>
      <c r="C166" s="59"/>
      <c r="D166" s="59"/>
      <c r="E166" s="26"/>
      <c r="F166" s="59"/>
      <c r="G166" s="59"/>
      <c r="H166" s="59"/>
      <c r="I166" s="59"/>
      <c r="J166" s="59"/>
      <c r="K166" s="59"/>
      <c r="L166" s="43"/>
      <c r="M166" s="26"/>
      <c r="N166" s="84" t="s">
        <v>361</v>
      </c>
      <c r="O166" s="84" t="s">
        <v>362</v>
      </c>
      <c r="P166" s="85" t="str">
        <f t="shared" si="2"/>
        <v>日本の歴史の中の亀山／古代の亀山／古代国家のあゆみと亀山／天平文化と亀山／日本書紀・古事記と万葉集／万葉集</v>
      </c>
      <c r="Q166" s="70"/>
      <c r="R166" s="26"/>
    </row>
    <row r="167" spans="1:18" s="6" customFormat="1" ht="32.25" customHeight="1" x14ac:dyDescent="0.15">
      <c r="A167" s="26"/>
      <c r="B167" s="26"/>
      <c r="C167" s="59"/>
      <c r="D167" s="59"/>
      <c r="E167" s="26"/>
      <c r="F167" s="59"/>
      <c r="G167" s="59"/>
      <c r="H167" s="59"/>
      <c r="I167" s="59"/>
      <c r="J167" s="59"/>
      <c r="K167" s="59"/>
      <c r="L167" s="43"/>
      <c r="M167" s="26"/>
      <c r="N167" s="84" t="s">
        <v>363</v>
      </c>
      <c r="O167" s="84" t="s">
        <v>362</v>
      </c>
      <c r="P167" s="85" t="str">
        <f t="shared" si="2"/>
        <v>亀山のいいとこさがし／手紙や本／むかしの本／万葉集</v>
      </c>
      <c r="Q167" s="70"/>
      <c r="R167" s="26"/>
    </row>
    <row r="168" spans="1:18" s="6" customFormat="1" ht="32.25" customHeight="1" x14ac:dyDescent="0.15">
      <c r="A168" s="7"/>
      <c r="B168" s="7"/>
      <c r="C168" s="60"/>
      <c r="D168" s="60"/>
      <c r="E168" s="7"/>
      <c r="F168" s="60"/>
      <c r="G168" s="60"/>
      <c r="H168" s="60"/>
      <c r="I168" s="60"/>
      <c r="J168" s="60"/>
      <c r="K168" s="60"/>
      <c r="L168" s="9"/>
      <c r="M168" s="7"/>
      <c r="N168" s="86" t="s">
        <v>364</v>
      </c>
      <c r="O168" s="86" t="s">
        <v>365</v>
      </c>
      <c r="P168" s="87" t="str">
        <f t="shared" si="2"/>
        <v>亀山のいいとこさがし／景色のよいところや歴史を知る手掛かりとなるもの／川</v>
      </c>
      <c r="Q168" s="65"/>
      <c r="R168" s="7"/>
    </row>
    <row r="169" spans="1:18" s="6" customFormat="1" ht="42.75" customHeight="1" x14ac:dyDescent="0.15">
      <c r="A169" s="11" t="s">
        <v>238</v>
      </c>
      <c r="B169" s="11">
        <v>8</v>
      </c>
      <c r="C169" s="61" t="s">
        <v>366</v>
      </c>
      <c r="D169" s="61">
        <v>781</v>
      </c>
      <c r="E169" s="11" t="s">
        <v>20</v>
      </c>
      <c r="F169" s="61"/>
      <c r="G169" s="61" t="s">
        <v>367</v>
      </c>
      <c r="H169" s="61" t="s">
        <v>199</v>
      </c>
      <c r="I169" s="61" t="s">
        <v>200</v>
      </c>
      <c r="J169" s="37" t="s">
        <v>201</v>
      </c>
      <c r="K169" s="61"/>
      <c r="L169" s="11"/>
      <c r="M169" s="25" t="str">
        <f>HYPERLINK("http://kameyamarekihaku.jp/sisi/koukoHP/archives/suzukaseki1/01/01-07/gi.html?pf=SKS10107-07-037.jpg&amp;pn=%E9%88%B4%E9%B9%BF%E9%96%A2%E8%B7%A1%E7%AC%AC%E4%B8%80%E6%AC%A1%E7%99%BA%E6%8E%98%E8%AA%BF%E6%9F%BB%0A","鈴鹿関西城壁跡")</f>
        <v>鈴鹿関西城壁跡</v>
      </c>
      <c r="N169" s="81" t="s">
        <v>205</v>
      </c>
      <c r="O169" s="23" t="s">
        <v>206</v>
      </c>
      <c r="P169" s="24" t="str">
        <f t="shared" si="2"/>
        <v>亀山のいいとこさがし／景色のよいところや歴史を知る手掛かりとなるもの／歴史上の場所／鈴鹿関跡（２）</v>
      </c>
      <c r="Q169" s="22"/>
      <c r="R169" s="11" t="s">
        <v>273</v>
      </c>
    </row>
    <row r="170" spans="1:18" s="6" customFormat="1" ht="17.25" customHeight="1" x14ac:dyDescent="0.15">
      <c r="A170" s="15" t="s">
        <v>238</v>
      </c>
      <c r="B170" s="15">
        <v>8</v>
      </c>
      <c r="C170" s="62" t="s">
        <v>366</v>
      </c>
      <c r="D170" s="62">
        <v>781</v>
      </c>
      <c r="E170" s="15" t="s">
        <v>20</v>
      </c>
      <c r="F170" s="62"/>
      <c r="G170" s="327" t="s">
        <v>368</v>
      </c>
      <c r="H170" s="62" t="s">
        <v>199</v>
      </c>
      <c r="I170" s="62" t="s">
        <v>200</v>
      </c>
      <c r="J170" s="37" t="s">
        <v>201</v>
      </c>
      <c r="K170" s="62"/>
      <c r="L170" s="15" t="s">
        <v>369</v>
      </c>
      <c r="M170" s="21" t="str">
        <f>HYPERLINK("http://kameyamarekihaku.jp/sisi/koukoHP/archives/suzukaseki1/01/01-07/gi.html?pf=SKS10107-07-037.jpg&amp;pn=%E9%88%B4%E9%B9%BF%E9%96%A2%E8%B7%A1%E7%AC%AC%E4%B8%80%E6%AC%A1%E7%99%BA%E6%8E%98%E8%AA%BF%E6%9F%BB%0A","鈴鹿関西城壁跡")</f>
        <v>鈴鹿関西城壁跡</v>
      </c>
      <c r="N170" s="310" t="s">
        <v>329</v>
      </c>
      <c r="O170" s="310" t="s">
        <v>287</v>
      </c>
      <c r="P170" s="311" t="str">
        <f t="shared" si="2"/>
        <v>日本の歴史の中の亀山／古代の亀山／古代国家のあゆみと亀山／律令国家の成立と亀山／古代の関所</v>
      </c>
      <c r="Q170" s="71" t="str">
        <f>HYPERLINK("http:/kameyamarekihaku.jp/suzukanoseki/gi/gi.htm?pf=zu1.jpg&amp;pn=%E5%8F%A4%E4%BB%A3%E4%B8%89%E9%96%A2%E4%BD%8D%E7%BD%AE%E5%9B%B3","古代三関位置図")</f>
        <v>古代三関位置図</v>
      </c>
      <c r="R170" s="298" t="s">
        <v>370</v>
      </c>
    </row>
    <row r="171" spans="1:18" s="6" customFormat="1" ht="30" customHeight="1" x14ac:dyDescent="0.15">
      <c r="A171" s="26"/>
      <c r="B171" s="26"/>
      <c r="C171" s="59"/>
      <c r="D171" s="59"/>
      <c r="E171" s="26"/>
      <c r="F171" s="59"/>
      <c r="G171" s="328"/>
      <c r="H171" s="59"/>
      <c r="I171" s="59"/>
      <c r="J171" s="39"/>
      <c r="K171" s="59"/>
      <c r="L171" s="26"/>
      <c r="M171" s="26"/>
      <c r="N171" s="317"/>
      <c r="O171" s="317" t="e">
        <v>#VALUE!</v>
      </c>
      <c r="P171" s="318" t="str">
        <f t="shared" si="2"/>
        <v/>
      </c>
      <c r="Q171" s="21" t="str">
        <f>HYPERLINK("http:/kameyamarekihaku.jp/suzukanoseki/shousai.html","過去の常設展示～鈴鹿関を探る")</f>
        <v>過去の常設展示～鈴鹿関を探る</v>
      </c>
      <c r="R171" s="316"/>
    </row>
    <row r="172" spans="1:18" s="6" customFormat="1" ht="30" customHeight="1" x14ac:dyDescent="0.15">
      <c r="A172" s="26"/>
      <c r="B172" s="26"/>
      <c r="C172" s="59"/>
      <c r="D172" s="59"/>
      <c r="E172" s="26"/>
      <c r="F172" s="59"/>
      <c r="G172" s="59"/>
      <c r="H172" s="59"/>
      <c r="I172" s="59"/>
      <c r="J172" s="39"/>
      <c r="K172" s="59"/>
      <c r="L172" s="26"/>
      <c r="M172" s="26"/>
      <c r="N172" s="317" t="s">
        <v>371</v>
      </c>
      <c r="O172" s="317" t="s">
        <v>206</v>
      </c>
      <c r="P172" s="318" t="str">
        <f t="shared" si="2"/>
        <v>亀山のいいとこさがし／景色のよいところや歴史を知る手掛かりとなるもの／歴史上の場所／鈴鹿関跡（２）</v>
      </c>
      <c r="Q172" s="21" t="str">
        <f>HYPERLINK("http://www.kameyamarekihaku.jp/sisi/seckam3/Data5/izanagi_01.html","市史考古分野（各コンテンツ）「歴史へのいざない　鈴鹿関」")</f>
        <v>市史考古分野（各コンテンツ）「歴史へのいざない　鈴鹿関」</v>
      </c>
      <c r="R172" s="316"/>
    </row>
    <row r="173" spans="1:18" s="6" customFormat="1" x14ac:dyDescent="0.15">
      <c r="A173" s="26"/>
      <c r="B173" s="26"/>
      <c r="C173" s="59"/>
      <c r="D173" s="59"/>
      <c r="E173" s="26"/>
      <c r="F173" s="59"/>
      <c r="G173" s="59"/>
      <c r="H173" s="59"/>
      <c r="I173" s="59"/>
      <c r="J173" s="39"/>
      <c r="K173" s="59"/>
      <c r="L173" s="26"/>
      <c r="M173" s="26"/>
      <c r="N173" s="317"/>
      <c r="O173" s="317" t="e">
        <v>#VALUE!</v>
      </c>
      <c r="P173" s="318" t="str">
        <f t="shared" si="2"/>
        <v/>
      </c>
      <c r="Q173" s="21" t="str">
        <f>HYPERLINK("http:/kameyamarekihaku.jp/sisi/KoukoHP/dai7sho.html","市史考古編第7章")</f>
        <v>市史考古編第7章</v>
      </c>
      <c r="R173" s="316"/>
    </row>
    <row r="174" spans="1:18" s="6" customFormat="1" ht="32.25" customHeight="1" x14ac:dyDescent="0.15">
      <c r="A174" s="26"/>
      <c r="B174" s="26"/>
      <c r="C174" s="59"/>
      <c r="D174" s="59"/>
      <c r="E174" s="26"/>
      <c r="F174" s="59"/>
      <c r="G174" s="59"/>
      <c r="H174" s="59"/>
      <c r="I174" s="59"/>
      <c r="J174" s="39"/>
      <c r="K174" s="59"/>
      <c r="L174" s="26"/>
      <c r="M174" s="26"/>
      <c r="N174" s="19"/>
      <c r="O174" s="19" t="e">
        <v>#VALUE!</v>
      </c>
      <c r="P174" s="20" t="str">
        <f t="shared" si="2"/>
        <v/>
      </c>
      <c r="Q174" s="21" t="str">
        <f>HYPERLINK("http:/kameyamarekihaku.jp/sisi/tuusiHP_next/tuusi-index.html#kochuusei0402","市史通史編 原始・古代・中世第4章第2節")</f>
        <v>市史通史編 原始・古代・中世第4章第2節</v>
      </c>
      <c r="R174" s="316"/>
    </row>
    <row r="175" spans="1:18" s="6" customFormat="1" ht="17.25" customHeight="1" x14ac:dyDescent="0.15">
      <c r="A175" s="7"/>
      <c r="B175" s="7"/>
      <c r="C175" s="60"/>
      <c r="D175" s="60"/>
      <c r="E175" s="7"/>
      <c r="F175" s="60"/>
      <c r="G175" s="60"/>
      <c r="H175" s="60"/>
      <c r="I175" s="60"/>
      <c r="J175" s="39"/>
      <c r="K175" s="60"/>
      <c r="L175" s="7"/>
      <c r="M175" s="26"/>
      <c r="N175" s="29"/>
      <c r="O175" s="29" t="e">
        <v>#VALUE!</v>
      </c>
      <c r="P175" s="30" t="str">
        <f t="shared" si="2"/>
        <v/>
      </c>
      <c r="Q175" s="10" t="str">
        <f>HYPERLINK("http:/kameyamarekihaku.jp/sisi/KoukoHP/iseki.html","市史考古編遺跡一覧N0.34")</f>
        <v>市史考古編遺跡一覧N0.34</v>
      </c>
      <c r="R175" s="299"/>
    </row>
    <row r="176" spans="1:18" s="6" customFormat="1" ht="34.5" customHeight="1" x14ac:dyDescent="0.15">
      <c r="A176" s="15" t="s">
        <v>238</v>
      </c>
      <c r="B176" s="15">
        <v>8</v>
      </c>
      <c r="C176" s="62" t="s">
        <v>366</v>
      </c>
      <c r="D176" s="62">
        <v>781</v>
      </c>
      <c r="E176" s="15" t="s">
        <v>20</v>
      </c>
      <c r="F176" s="62"/>
      <c r="G176" s="62" t="s">
        <v>372</v>
      </c>
      <c r="H176" s="62" t="s">
        <v>199</v>
      </c>
      <c r="I176" s="62" t="s">
        <v>200</v>
      </c>
      <c r="J176" s="37" t="s">
        <v>201</v>
      </c>
      <c r="K176" s="62"/>
      <c r="L176" s="15"/>
      <c r="M176" s="17" t="str">
        <f>HYPERLINK("http://kameyamarekihaku.jp/sisi/koukoHP/archives/suzukaseki1/01/01-07/gi.html?pf=SKS10107-07-037.jpg&amp;pn=%E9%88%B4%E9%B9%BF%E9%96%A2%E8%B7%A1%E7%AC%AC%E4%B8%80%E6%AC%A1%E7%99%BA%E6%8E%98%E8%AA%BF%E6%9F%BB%0A","鈴鹿関西城壁跡")</f>
        <v>鈴鹿関西城壁跡</v>
      </c>
      <c r="N176" s="42" t="s">
        <v>348</v>
      </c>
      <c r="O176" s="19" t="s">
        <v>349</v>
      </c>
      <c r="P176" s="20" t="str">
        <f t="shared" si="2"/>
        <v>亀山のむかしばなし／こわいはなし／鈴鹿関の怪奇現象</v>
      </c>
      <c r="Q176" s="16"/>
      <c r="R176" s="15" t="s">
        <v>273</v>
      </c>
    </row>
    <row r="177" spans="1:18" s="6" customFormat="1" ht="43.5" customHeight="1" x14ac:dyDescent="0.15">
      <c r="A177" s="7"/>
      <c r="B177" s="7"/>
      <c r="C177" s="60"/>
      <c r="D177" s="60"/>
      <c r="E177" s="7"/>
      <c r="F177" s="60"/>
      <c r="G177" s="60"/>
      <c r="H177" s="60"/>
      <c r="I177" s="60"/>
      <c r="J177" s="72"/>
      <c r="K177" s="60"/>
      <c r="L177" s="7"/>
      <c r="M177" s="10"/>
      <c r="N177" s="53" t="s">
        <v>373</v>
      </c>
      <c r="O177" s="29" t="s">
        <v>206</v>
      </c>
      <c r="P177" s="30" t="str">
        <f t="shared" si="2"/>
        <v>亀山のいいとこさがし／景色のよいところや歴史を知る手掛かりとなるもの／歴史上の場所／鈴鹿関跡（２）</v>
      </c>
      <c r="Q177" s="18"/>
      <c r="R177" s="7"/>
    </row>
    <row r="178" spans="1:18" s="6" customFormat="1" ht="17.25" customHeight="1" x14ac:dyDescent="0.15">
      <c r="A178" s="26" t="s">
        <v>238</v>
      </c>
      <c r="B178" s="26">
        <v>8</v>
      </c>
      <c r="C178" s="59" t="s">
        <v>374</v>
      </c>
      <c r="D178" s="59">
        <v>782</v>
      </c>
      <c r="E178" s="26" t="s">
        <v>20</v>
      </c>
      <c r="F178" s="59"/>
      <c r="G178" s="327" t="s">
        <v>375</v>
      </c>
      <c r="H178" s="59" t="s">
        <v>199</v>
      </c>
      <c r="I178" s="59" t="s">
        <v>200</v>
      </c>
      <c r="J178" s="39" t="s">
        <v>201</v>
      </c>
      <c r="K178" s="59"/>
      <c r="L178" s="26"/>
      <c r="M178" s="21" t="str">
        <f>HYPERLINK("http://kameyamarekihaku.jp/sisi/koukoHP/archives/suzukaseki1/01/01-07/gi.html?pf=SKS10107-07-037.jpg&amp;pn=%E9%88%B4%E9%B9%BF%E9%96%A2%E8%B7%A1%E7%AC%AC%E4%B8%80%E6%AC%A1%E7%99%BA%E6%8E%98%E8%AA%BF%E6%9F%BB%0A","鈴鹿関西城壁跡")</f>
        <v>鈴鹿関西城壁跡</v>
      </c>
      <c r="N178" s="317" t="s">
        <v>376</v>
      </c>
      <c r="O178" s="317" t="s">
        <v>287</v>
      </c>
      <c r="P178" s="318" t="str">
        <f t="shared" si="2"/>
        <v>日本の歴史の中の亀山／古代の亀山／古代国家のあゆみと亀山／律令国家の成立と亀山／古代の関所</v>
      </c>
      <c r="Q178" s="76" t="str">
        <f>HYPERLINK("http:/kameyamarekihaku.jp/suzukanoseki/gi/gi.htm?pf=zu1.jpg&amp;pn=%E5%8F%A4%E4%BB%A3%E4%B8%89%E9%96%A2%E4%BD%8D%E7%BD%AE%E5%9B%B3","古代三関位置図")</f>
        <v>古代三関位置図</v>
      </c>
      <c r="R178" s="316" t="s">
        <v>377</v>
      </c>
    </row>
    <row r="179" spans="1:18" s="6" customFormat="1" ht="15.75" customHeight="1" x14ac:dyDescent="0.15">
      <c r="A179" s="26"/>
      <c r="B179" s="26"/>
      <c r="C179" s="59"/>
      <c r="D179" s="59"/>
      <c r="E179" s="26"/>
      <c r="F179" s="59"/>
      <c r="G179" s="328"/>
      <c r="H179" s="59"/>
      <c r="I179" s="59"/>
      <c r="J179" s="39"/>
      <c r="K179" s="59"/>
      <c r="L179" s="26"/>
      <c r="M179" s="21" t="str">
        <f>HYPERLINK("http://kameyamarekihaku.jp/sisi/koukoHP/archives/suzukaseki1/01/01-07/gi.html?pf=SKS10107-07-037.jpg&amp;pn=%E9%88%B4%E9%B9%BF%E9%96%A2%E8%B7%A1%E7%AC%AC%E4%B8%80%E6%AC%A1%E7%99%BA%E6%8E%98%E8%AA%BF%E6%9F%BB%0A","鈴鹿関西城壁跡")</f>
        <v>鈴鹿関西城壁跡</v>
      </c>
      <c r="N179" s="317"/>
      <c r="O179" s="317" t="e">
        <v>#VALUE!</v>
      </c>
      <c r="P179" s="318" t="str">
        <f t="shared" si="2"/>
        <v/>
      </c>
      <c r="Q179" s="21" t="str">
        <f>HYPERLINK("http:/kameyamarekihaku.jp/suzukanoseki/shousai.html","過去の常設展示～鈴鹿関を探る")</f>
        <v>過去の常設展示～鈴鹿関を探る</v>
      </c>
      <c r="R179" s="316"/>
    </row>
    <row r="180" spans="1:18" s="6" customFormat="1" ht="30" customHeight="1" x14ac:dyDescent="0.15">
      <c r="A180" s="26"/>
      <c r="B180" s="26"/>
      <c r="C180" s="59"/>
      <c r="D180" s="59"/>
      <c r="E180" s="26"/>
      <c r="F180" s="59"/>
      <c r="G180" s="59"/>
      <c r="H180" s="59"/>
      <c r="I180" s="59"/>
      <c r="J180" s="39"/>
      <c r="K180" s="59"/>
      <c r="L180" s="26"/>
      <c r="M180" s="26"/>
      <c r="N180" s="317"/>
      <c r="O180" s="317" t="e">
        <v>#VALUE!</v>
      </c>
      <c r="P180" s="318" t="str">
        <f t="shared" si="2"/>
        <v/>
      </c>
      <c r="Q180" s="21" t="str">
        <f>HYPERLINK("http://www.kameyamarekihaku.jp/sisi/seckam3/Data5/izanagi_01.html","市史考古分野（各コンテンツ）「歴史へのいざない　鈴鹿関」")</f>
        <v>市史考古分野（各コンテンツ）「歴史へのいざない　鈴鹿関」</v>
      </c>
      <c r="R180" s="316"/>
    </row>
    <row r="181" spans="1:18" s="6" customFormat="1" x14ac:dyDescent="0.15">
      <c r="A181" s="26"/>
      <c r="B181" s="26"/>
      <c r="C181" s="59"/>
      <c r="D181" s="59"/>
      <c r="E181" s="26"/>
      <c r="F181" s="59"/>
      <c r="G181" s="59"/>
      <c r="H181" s="59"/>
      <c r="I181" s="59"/>
      <c r="J181" s="39"/>
      <c r="K181" s="59"/>
      <c r="L181" s="26"/>
      <c r="M181" s="26"/>
      <c r="N181" s="19"/>
      <c r="O181" s="19" t="e">
        <v>#VALUE!</v>
      </c>
      <c r="P181" s="20" t="str">
        <f t="shared" si="2"/>
        <v/>
      </c>
      <c r="Q181" s="21" t="str">
        <f>HYPERLINK("http:/kameyamarekihaku.jp/sisi/KoukoHP/dai7sho.html","市史考古編第7章")</f>
        <v>市史考古編第7章</v>
      </c>
      <c r="R181" s="316"/>
    </row>
    <row r="182" spans="1:18" s="6" customFormat="1" ht="40.5" customHeight="1" x14ac:dyDescent="0.15">
      <c r="A182" s="26"/>
      <c r="B182" s="26"/>
      <c r="C182" s="59"/>
      <c r="D182" s="59"/>
      <c r="E182" s="26"/>
      <c r="F182" s="59"/>
      <c r="G182" s="59"/>
      <c r="H182" s="59"/>
      <c r="I182" s="59"/>
      <c r="J182" s="39"/>
      <c r="K182" s="59"/>
      <c r="L182" s="26"/>
      <c r="M182" s="26"/>
      <c r="N182" s="317" t="s">
        <v>378</v>
      </c>
      <c r="O182" s="317" t="s">
        <v>206</v>
      </c>
      <c r="P182" s="318" t="str">
        <f t="shared" si="2"/>
        <v>亀山のいいとこさがし／景色のよいところや歴史を知る手掛かりとなるもの／歴史上の場所／鈴鹿関跡（２）</v>
      </c>
      <c r="Q182" s="21" t="str">
        <f>HYPERLINK("http:/kameyamarekihaku.jp/sisi/tuusiHP_next/tuusi-index.html#kochuusei0402","市史通史編 原始・古代・中世第4章第2節")</f>
        <v>市史通史編 原始・古代・中世第4章第2節</v>
      </c>
      <c r="R182" s="316"/>
    </row>
    <row r="183" spans="1:18" s="6" customFormat="1" ht="21.75" customHeight="1" x14ac:dyDescent="0.15">
      <c r="A183" s="7"/>
      <c r="B183" s="7"/>
      <c r="C183" s="60"/>
      <c r="D183" s="60"/>
      <c r="E183" s="7"/>
      <c r="F183" s="60"/>
      <c r="G183" s="60"/>
      <c r="H183" s="60"/>
      <c r="I183" s="60"/>
      <c r="J183" s="72"/>
      <c r="K183" s="60"/>
      <c r="L183" s="7"/>
      <c r="M183" s="7"/>
      <c r="N183" s="306"/>
      <c r="O183" s="306" t="e">
        <v>#VALUE!</v>
      </c>
      <c r="P183" s="308" t="str">
        <f t="shared" si="2"/>
        <v/>
      </c>
      <c r="Q183" s="10" t="str">
        <f>HYPERLINK("http:/kameyamarekihaku.jp/sisi/KoukoHP/iseki.html","市史考古編遺跡一覧N0.34")</f>
        <v>市史考古編遺跡一覧N0.34</v>
      </c>
      <c r="R183" s="299"/>
    </row>
    <row r="184" spans="1:18" s="6" customFormat="1" x14ac:dyDescent="0.15">
      <c r="A184" s="11" t="s">
        <v>238</v>
      </c>
      <c r="B184" s="11">
        <v>8</v>
      </c>
      <c r="C184" s="61" t="s">
        <v>379</v>
      </c>
      <c r="D184" s="61">
        <v>784</v>
      </c>
      <c r="E184" s="11" t="s">
        <v>20</v>
      </c>
      <c r="F184" s="61" t="s">
        <v>380</v>
      </c>
      <c r="G184" s="61"/>
      <c r="H184" s="61"/>
      <c r="I184" s="61"/>
      <c r="J184" s="61"/>
      <c r="K184" s="61"/>
      <c r="L184" s="11"/>
      <c r="M184" s="11"/>
      <c r="N184" s="12"/>
      <c r="O184" s="12" t="e">
        <v>#VALUE!</v>
      </c>
      <c r="P184" s="13" t="str">
        <f t="shared" si="2"/>
        <v/>
      </c>
      <c r="Q184" s="63"/>
      <c r="R184" s="11"/>
    </row>
    <row r="185" spans="1:18" s="6" customFormat="1" ht="13.5" customHeight="1" x14ac:dyDescent="0.15">
      <c r="A185" s="15" t="s">
        <v>381</v>
      </c>
      <c r="B185" s="15">
        <v>8</v>
      </c>
      <c r="C185" s="15" t="s">
        <v>382</v>
      </c>
      <c r="D185" s="15">
        <v>789</v>
      </c>
      <c r="E185" s="15" t="s">
        <v>20</v>
      </c>
      <c r="F185" s="62"/>
      <c r="G185" s="62" t="s">
        <v>383</v>
      </c>
      <c r="H185" s="62" t="s">
        <v>199</v>
      </c>
      <c r="I185" s="62" t="s">
        <v>200</v>
      </c>
      <c r="J185" s="37" t="s">
        <v>201</v>
      </c>
      <c r="K185" s="62"/>
      <c r="L185" s="15" t="s">
        <v>369</v>
      </c>
      <c r="M185" s="21" t="str">
        <f>HYPERLINK("http://kameyamarekihaku.jp/sisi/koukoHP/archives/suzukaseki1/01/01-07/gi.html?pf=SKS10107-07-037.jpg&amp;pn=%E9%88%B4%E9%B9%BF%E9%96%A2%E8%B7%A1%E7%AC%AC%E4%B8%80%E6%AC%A1%E7%99%BA%E6%8E%98%E8%AA%BF%E6%9F%BB%0A","鈴鹿関西城壁跡")</f>
        <v>鈴鹿関西城壁跡</v>
      </c>
      <c r="N185" s="310" t="s">
        <v>384</v>
      </c>
      <c r="O185" s="310" t="s">
        <v>287</v>
      </c>
      <c r="P185" s="311" t="str">
        <f t="shared" si="2"/>
        <v>日本の歴史の中の亀山／古代の亀山／古代国家のあゆみと亀山／律令国家の成立と亀山／古代の関所</v>
      </c>
      <c r="Q185" s="71" t="str">
        <f>HYPERLINK("http:/kameyamarekihaku.jp/suzukanoseki/gi/gi.htm?pf=zu1.jpg&amp;pn=%E5%8F%A4%E4%BB%A3%E4%B8%89%E9%96%A2%E4%BD%8D%E7%BD%AE%E5%9B%B3","古代三関位置図")</f>
        <v>古代三関位置図</v>
      </c>
      <c r="R185" s="298" t="s">
        <v>377</v>
      </c>
    </row>
    <row r="186" spans="1:18" s="6" customFormat="1" x14ac:dyDescent="0.15">
      <c r="A186" s="26"/>
      <c r="B186" s="26"/>
      <c r="C186" s="26"/>
      <c r="D186" s="26"/>
      <c r="E186" s="26"/>
      <c r="F186" s="59"/>
      <c r="G186" s="59"/>
      <c r="H186" s="59"/>
      <c r="I186" s="59"/>
      <c r="J186" s="39"/>
      <c r="K186" s="59"/>
      <c r="L186" s="26"/>
      <c r="M186" s="21"/>
      <c r="N186" s="317"/>
      <c r="O186" s="317" t="e">
        <v>#VALUE!</v>
      </c>
      <c r="P186" s="318" t="str">
        <f t="shared" si="2"/>
        <v/>
      </c>
      <c r="Q186" s="21" t="str">
        <f>HYPERLINK("http:/kameyamarekihaku.jp/suzukanoseki/shousai.html","過去の常設展示～鈴鹿関を探る")</f>
        <v>過去の常設展示～鈴鹿関を探る</v>
      </c>
      <c r="R186" s="316"/>
    </row>
    <row r="187" spans="1:18" s="6" customFormat="1" ht="30" customHeight="1" x14ac:dyDescent="0.15">
      <c r="A187" s="26"/>
      <c r="B187" s="26"/>
      <c r="C187" s="26"/>
      <c r="D187" s="26"/>
      <c r="E187" s="26"/>
      <c r="F187" s="59"/>
      <c r="G187" s="59"/>
      <c r="H187" s="59"/>
      <c r="I187" s="59"/>
      <c r="J187" s="39"/>
      <c r="K187" s="59"/>
      <c r="L187" s="26"/>
      <c r="M187" s="26"/>
      <c r="N187" s="317"/>
      <c r="O187" s="317" t="e">
        <v>#VALUE!</v>
      </c>
      <c r="P187" s="318" t="str">
        <f t="shared" si="2"/>
        <v/>
      </c>
      <c r="Q187" s="21" t="str">
        <f>HYPERLINK("http://www.kameyamarekihaku.jp/sisi/seckam3/Data5/izanagi_01.html","市史考古分野（各コンテンツ）「歴史へのいざない　鈴鹿関」")</f>
        <v>市史考古分野（各コンテンツ）「歴史へのいざない　鈴鹿関」</v>
      </c>
      <c r="R187" s="316"/>
    </row>
    <row r="188" spans="1:18" s="6" customFormat="1" ht="16.5" customHeight="1" x14ac:dyDescent="0.15">
      <c r="A188" s="26"/>
      <c r="B188" s="26"/>
      <c r="C188" s="26"/>
      <c r="D188" s="26"/>
      <c r="E188" s="26"/>
      <c r="F188" s="59"/>
      <c r="G188" s="59"/>
      <c r="H188" s="59"/>
      <c r="I188" s="59"/>
      <c r="J188" s="39"/>
      <c r="K188" s="59"/>
      <c r="L188" s="26"/>
      <c r="M188" s="26"/>
      <c r="N188" s="317" t="s">
        <v>385</v>
      </c>
      <c r="O188" s="317" t="s">
        <v>206</v>
      </c>
      <c r="P188" s="318" t="str">
        <f t="shared" si="2"/>
        <v>亀山のいいとこさがし／景色のよいところや歴史を知る手掛かりとなるもの／歴史上の場所／鈴鹿関跡（２）</v>
      </c>
      <c r="Q188" s="21" t="str">
        <f>HYPERLINK("http:/kameyamarekihaku.jp/sisi/KoukoHP/dai7sho.html","市史考古編第7章")</f>
        <v>市史考古編第7章</v>
      </c>
      <c r="R188" s="316"/>
    </row>
    <row r="189" spans="1:18" s="6" customFormat="1" ht="27" x14ac:dyDescent="0.15">
      <c r="A189" s="26"/>
      <c r="B189" s="26"/>
      <c r="C189" s="26"/>
      <c r="D189" s="26"/>
      <c r="E189" s="26"/>
      <c r="F189" s="59"/>
      <c r="G189" s="59"/>
      <c r="H189" s="59"/>
      <c r="I189" s="59"/>
      <c r="J189" s="39"/>
      <c r="K189" s="59"/>
      <c r="L189" s="26"/>
      <c r="M189" s="26"/>
      <c r="N189" s="317"/>
      <c r="O189" s="317" t="e">
        <v>#VALUE!</v>
      </c>
      <c r="P189" s="318" t="str">
        <f t="shared" si="2"/>
        <v/>
      </c>
      <c r="Q189" s="21" t="str">
        <f>HYPERLINK("http:/kameyamarekihaku.jp/sisi/tuusiHP_next/tuusi-index.html#kochuusei0402","市史通史編 原始・古代・中世第4章第2節")</f>
        <v>市史通史編 原始・古代・中世第4章第2節</v>
      </c>
      <c r="R189" s="316"/>
    </row>
    <row r="190" spans="1:18" s="6" customFormat="1" ht="16.5" customHeight="1" x14ac:dyDescent="0.15">
      <c r="A190" s="7"/>
      <c r="B190" s="7"/>
      <c r="C190" s="7"/>
      <c r="D190" s="7"/>
      <c r="E190" s="7"/>
      <c r="F190" s="60"/>
      <c r="G190" s="60"/>
      <c r="H190" s="60"/>
      <c r="I190" s="60"/>
      <c r="J190" s="72"/>
      <c r="K190" s="60"/>
      <c r="L190" s="7"/>
      <c r="M190" s="7"/>
      <c r="N190" s="29"/>
      <c r="O190" s="29" t="e">
        <v>#VALUE!</v>
      </c>
      <c r="P190" s="30" t="str">
        <f t="shared" si="2"/>
        <v/>
      </c>
      <c r="Q190" s="10" t="str">
        <f>HYPERLINK("http:/kameyamarekihaku.jp/sisi/KoukoHP/iseki.html","市史考古編遺跡一覧N0.34")</f>
        <v>市史考古編遺跡一覧N0.34</v>
      </c>
      <c r="R190" s="299"/>
    </row>
    <row r="191" spans="1:18" s="6" customFormat="1" x14ac:dyDescent="0.15">
      <c r="A191" s="11" t="s">
        <v>386</v>
      </c>
      <c r="B191" s="11">
        <v>8</v>
      </c>
      <c r="C191" s="61" t="s">
        <v>387</v>
      </c>
      <c r="D191" s="61">
        <v>794</v>
      </c>
      <c r="E191" s="11" t="s">
        <v>20</v>
      </c>
      <c r="F191" s="61" t="s">
        <v>388</v>
      </c>
      <c r="G191" s="61"/>
      <c r="H191" s="61"/>
      <c r="I191" s="61"/>
      <c r="J191" s="61"/>
      <c r="K191" s="61"/>
      <c r="L191" s="11" t="s">
        <v>389</v>
      </c>
      <c r="M191" s="11"/>
      <c r="N191" s="12"/>
      <c r="O191" s="12" t="e">
        <v>#VALUE!</v>
      </c>
      <c r="P191" s="13" t="str">
        <f t="shared" si="2"/>
        <v/>
      </c>
      <c r="Q191" s="63"/>
      <c r="R191" s="11"/>
    </row>
    <row r="192" spans="1:18" s="6" customFormat="1" x14ac:dyDescent="0.15">
      <c r="A192" s="15" t="s">
        <v>386</v>
      </c>
      <c r="B192" s="15">
        <v>9</v>
      </c>
      <c r="C192" s="15" t="s">
        <v>390</v>
      </c>
      <c r="D192" s="15">
        <v>802</v>
      </c>
      <c r="E192" s="15" t="s">
        <v>20</v>
      </c>
      <c r="F192" s="62" t="s">
        <v>391</v>
      </c>
      <c r="G192" s="62"/>
      <c r="H192" s="62"/>
      <c r="I192" s="62"/>
      <c r="J192" s="62"/>
      <c r="K192" s="62"/>
      <c r="L192" s="15"/>
      <c r="M192" s="15"/>
      <c r="N192" s="34"/>
      <c r="O192" s="34" t="e">
        <v>#VALUE!</v>
      </c>
      <c r="P192" s="35" t="str">
        <f t="shared" si="2"/>
        <v/>
      </c>
      <c r="Q192" s="83"/>
      <c r="R192" s="15"/>
    </row>
    <row r="193" spans="1:18" s="6" customFormat="1" ht="45.75" customHeight="1" x14ac:dyDescent="0.15">
      <c r="A193" s="15" t="s">
        <v>386</v>
      </c>
      <c r="B193" s="15">
        <v>9</v>
      </c>
      <c r="C193" s="15"/>
      <c r="D193" s="15"/>
      <c r="E193" s="15" t="s">
        <v>34</v>
      </c>
      <c r="F193" s="62"/>
      <c r="G193" s="327" t="s">
        <v>392</v>
      </c>
      <c r="H193" s="62" t="s">
        <v>393</v>
      </c>
      <c r="I193" s="62" t="s">
        <v>394</v>
      </c>
      <c r="J193" s="71" t="str">
        <f>HYPERLINK("http://kameyamarekihaku.jp/sisi/tuusiHP_next/kochuusei/image/08/gi.htm?pf=1242sh140.JPG&amp;?pn=%20%E7%8F%BE%E5%9C%A8%E3%81%AE%E6%85%88%E6%81%A9%E5%AF%BA%EF%BC%88%E9%87%8E%E6%9D%91%E7%94%BA%EF%BC%89","慈恩寺")</f>
        <v>慈恩寺</v>
      </c>
      <c r="K193" s="62"/>
      <c r="L193" s="15"/>
      <c r="M193" s="16" t="str">
        <f>HYPERLINK("http://kameyamarekihaku.jp/sisi/tuusiHP_next/kingendai/image/09/gi.htm?pf=3091sh009-06.JPG&amp;?pn=%20%E4%BF%AE%E7%90%86%E5%89%8D%E3%81%AE%E6%85%88%E6%81%A9%E5%AF%BA%E9%98%BF%E5%BC%A5%E9%99%80%E5%A6%82%E6%9D%A5%E7%AB%8B%E5%83%8F","修理前の慈恩寺阿弥陀如来立像")</f>
        <v>修理前の慈恩寺阿弥陀如来立像</v>
      </c>
      <c r="N193" s="32" t="s">
        <v>395</v>
      </c>
      <c r="O193" s="32" t="s">
        <v>396</v>
      </c>
      <c r="P193" s="33" t="str">
        <f t="shared" si="2"/>
        <v>日本の歴史の中の亀山／中世の亀山／武士の台頭と亀山／仏教の広がり／亀山の古代中世寺院</v>
      </c>
      <c r="Q193" s="17" t="str">
        <f>HYPERLINK("http:/kameyamarekihaku.jp/sisi/tuusiHP_next/tuusi-index.html#kochuusei1001","市史通史編 原始・古代・中世第10章第1節第2項")</f>
        <v>市史通史編 原始・古代・中世第10章第1節第2項</v>
      </c>
      <c r="R193" s="300" t="s">
        <v>397</v>
      </c>
    </row>
    <row r="194" spans="1:18" s="6" customFormat="1" ht="17.25" customHeight="1" x14ac:dyDescent="0.15">
      <c r="A194" s="7"/>
      <c r="B194" s="7"/>
      <c r="C194" s="7"/>
      <c r="D194" s="7"/>
      <c r="E194" s="7"/>
      <c r="F194" s="60"/>
      <c r="G194" s="329"/>
      <c r="H194" s="60"/>
      <c r="I194" s="60"/>
      <c r="J194" s="60"/>
      <c r="K194" s="60"/>
      <c r="L194" s="7"/>
      <c r="M194" s="18" t="str">
        <f>HYPERLINK("http://kameyamarekihaku.jp/sisi/tuusiHP_next/kochuusei/image/10/gi.htm?pf=1296sh178.JPG&amp;?pn=%E4%BF%AE%E7%90%86%E5%BE%8C%E3%81%AE%E6%85%88%E6%81%A9%E5%AF%BA%E9%98%BF%E5%BC%A5%E9%99%80%E5%A6%82%E6%9D%A5%E7%AB%8B%E5%83%8F","慈恩寺阿弥陀如来立像（修理後）")</f>
        <v>慈恩寺阿弥陀如来立像（修理後）</v>
      </c>
      <c r="N194" s="29" t="s">
        <v>398</v>
      </c>
      <c r="O194" s="29" t="s">
        <v>399</v>
      </c>
      <c r="P194" s="30" t="str">
        <f t="shared" si="2"/>
        <v>亀山のいいとこさがし／仏像</v>
      </c>
      <c r="Q194" s="10"/>
      <c r="R194" s="302"/>
    </row>
    <row r="195" spans="1:18" s="6" customFormat="1" x14ac:dyDescent="0.15">
      <c r="A195" s="11" t="s">
        <v>386</v>
      </c>
      <c r="B195" s="11">
        <v>9</v>
      </c>
      <c r="C195" s="11"/>
      <c r="D195" s="11"/>
      <c r="E195" s="11" t="s">
        <v>20</v>
      </c>
      <c r="F195" s="61" t="s">
        <v>400</v>
      </c>
      <c r="G195" s="61"/>
      <c r="H195" s="61"/>
      <c r="I195" s="61"/>
      <c r="J195" s="61"/>
      <c r="K195" s="61"/>
      <c r="L195" s="11"/>
      <c r="M195" s="11"/>
      <c r="N195" s="12"/>
      <c r="O195" s="12" t="e">
        <v>#VALUE!</v>
      </c>
      <c r="P195" s="13" t="str">
        <f t="shared" ref="P195:P258" si="3">IFERROR(HYPERLINK(O195,N195),"")</f>
        <v/>
      </c>
      <c r="Q195" s="63"/>
      <c r="R195" s="11"/>
    </row>
    <row r="196" spans="1:18" s="6" customFormat="1" ht="20.25" customHeight="1" x14ac:dyDescent="0.15">
      <c r="A196" s="11" t="s">
        <v>386</v>
      </c>
      <c r="B196" s="11">
        <v>9</v>
      </c>
      <c r="C196" s="11" t="s">
        <v>401</v>
      </c>
      <c r="D196" s="11">
        <v>866</v>
      </c>
      <c r="E196" s="11" t="s">
        <v>20</v>
      </c>
      <c r="F196" s="61" t="s">
        <v>402</v>
      </c>
      <c r="G196" s="61"/>
      <c r="H196" s="61"/>
      <c r="I196" s="61"/>
      <c r="J196" s="61"/>
      <c r="K196" s="61"/>
      <c r="L196" s="11"/>
      <c r="M196" s="11"/>
      <c r="N196" s="12"/>
      <c r="O196" s="12" t="e">
        <v>#VALUE!</v>
      </c>
      <c r="P196" s="13" t="str">
        <f t="shared" si="3"/>
        <v/>
      </c>
      <c r="Q196" s="63"/>
      <c r="R196" s="11" t="s">
        <v>191</v>
      </c>
    </row>
    <row r="197" spans="1:18" s="6" customFormat="1" ht="18" customHeight="1" x14ac:dyDescent="0.15">
      <c r="A197" s="15" t="s">
        <v>386</v>
      </c>
      <c r="B197" s="15">
        <v>9</v>
      </c>
      <c r="C197" s="15" t="s">
        <v>403</v>
      </c>
      <c r="D197" s="15">
        <v>886</v>
      </c>
      <c r="E197" s="15" t="s">
        <v>20</v>
      </c>
      <c r="F197" s="62"/>
      <c r="G197" s="327" t="s">
        <v>404</v>
      </c>
      <c r="H197" s="62" t="s">
        <v>199</v>
      </c>
      <c r="I197" s="62" t="s">
        <v>405</v>
      </c>
      <c r="J197" s="71" t="str">
        <f>HYPERLINK("http://kameyamarekihaku.jp/sisi/tuusiHP_next/kochuusei/image/06/gi.htm?pf=1187sh102.JPG&amp;?pn=%E9%88%B4%E9%B9%BF%E5%B3%A0%EF%BC%88%E3%83%87%E3%82%B8%E3%82%BF%E3%83%AB%E5%85%B1%E6%9C%89%E5%9C%B0%E5%9B%B3%EF%BC%89%E3%80%80","鈴鹿峠")</f>
        <v>鈴鹿峠</v>
      </c>
      <c r="K197" s="62"/>
      <c r="L197" s="15"/>
      <c r="M197" s="15" t="s">
        <v>406</v>
      </c>
      <c r="N197" s="32" t="s">
        <v>407</v>
      </c>
      <c r="O197" s="32" t="s">
        <v>408</v>
      </c>
      <c r="P197" s="33" t="str">
        <f t="shared" si="3"/>
        <v>古典に出てくる亀山／歌／鈴鹿山</v>
      </c>
      <c r="Q197" s="17" t="str">
        <f>HYPERLINK("http:/kameyamarekihaku.jp/sisi/KoukoHP/iseki.html","市史考古編遺跡一覧N0.49")</f>
        <v>市史考古編遺跡一覧N0.49</v>
      </c>
      <c r="R197" s="298" t="s">
        <v>409</v>
      </c>
    </row>
    <row r="198" spans="1:18" s="6" customFormat="1" ht="44.25" customHeight="1" x14ac:dyDescent="0.15">
      <c r="A198" s="26"/>
      <c r="B198" s="26"/>
      <c r="C198" s="26"/>
      <c r="D198" s="26"/>
      <c r="E198" s="26"/>
      <c r="F198" s="59"/>
      <c r="G198" s="328"/>
      <c r="H198" s="59"/>
      <c r="I198" s="59"/>
      <c r="J198" s="76"/>
      <c r="K198" s="59"/>
      <c r="L198" s="26"/>
      <c r="M198" s="26"/>
      <c r="N198" s="19" t="s">
        <v>410</v>
      </c>
      <c r="O198" s="19" t="s">
        <v>411</v>
      </c>
      <c r="P198" s="20" t="str">
        <f t="shared" si="3"/>
        <v>日本の歴史の中の亀山／古代の亀山／古代国家のあゆみと亀山／地域の開発／鈴鹿峠の開通</v>
      </c>
      <c r="Q198" s="21" t="str">
        <f>HYPERLINK("http:/kameyamarekihaku.jp/sisi/tuusiHP_next/tuusi-index.html#kochuusei0501","市史通史編 原始・古代・中世第5章第1節第1項")</f>
        <v>市史通史編 原始・古代・中世第5章第1節第1項</v>
      </c>
      <c r="R198" s="316"/>
    </row>
    <row r="199" spans="1:18" s="6" customFormat="1" ht="46.5" customHeight="1" x14ac:dyDescent="0.15">
      <c r="A199" s="26"/>
      <c r="B199" s="26"/>
      <c r="C199" s="26"/>
      <c r="D199" s="26"/>
      <c r="E199" s="26"/>
      <c r="F199" s="59"/>
      <c r="G199" s="328"/>
      <c r="H199" s="59"/>
      <c r="I199" s="59"/>
      <c r="J199" s="76"/>
      <c r="K199" s="59"/>
      <c r="L199" s="26"/>
      <c r="M199" s="26"/>
      <c r="N199" s="19" t="s">
        <v>412</v>
      </c>
      <c r="O199" s="19" t="s">
        <v>413</v>
      </c>
      <c r="P199" s="20" t="str">
        <f t="shared" si="3"/>
        <v>亀山のいいとこさがし／景色のよいところや歴史を知る手掛かりとなるもの／歴史上の場所／鈴鹿峠</v>
      </c>
      <c r="Q199" s="21" t="str">
        <f>HYPERLINK("http://kameyamarekihaku.jp/sisi/tuusiHP_next/kochuusei/image/04/gi.htm?pf=1133sh074.JPG&amp;?pn=%20%E3%80%8C%E9%98%BF%E9%A0%88%E6%B3%A2%E9%81%93%E3%80%8D%E5%91%A8%E8%BE%BA%E3%81%AE%E5%9C%B0%E5%BD%A2","「阿須波道」周辺の地形")</f>
        <v>「阿須波道」周辺の地形</v>
      </c>
      <c r="R199" s="316"/>
    </row>
    <row r="200" spans="1:18" s="6" customFormat="1" ht="33" customHeight="1" x14ac:dyDescent="0.15">
      <c r="A200" s="11" t="s">
        <v>386</v>
      </c>
      <c r="B200" s="11">
        <v>9</v>
      </c>
      <c r="C200" s="11" t="s">
        <v>403</v>
      </c>
      <c r="D200" s="11">
        <v>886</v>
      </c>
      <c r="E200" s="11" t="s">
        <v>20</v>
      </c>
      <c r="F200" s="61"/>
      <c r="G200" s="61" t="s">
        <v>414</v>
      </c>
      <c r="H200" s="61" t="s">
        <v>199</v>
      </c>
      <c r="I200" s="61" t="s">
        <v>415</v>
      </c>
      <c r="J200" s="61" t="s">
        <v>416</v>
      </c>
      <c r="K200" s="61"/>
      <c r="L200" s="11"/>
      <c r="M200" s="22" t="str">
        <f>HYPERLINK("http://kameyamarekihaku.jp/sisi/tuusiHP_next/kochuusei/image/06/gi.htm?pf=1187sh102.JPG&amp;?pn=%E9%88%B4%E9%B9%BF%E5%B3%A0%EF%BC%88%E3%83%87%E3%82%B8%E3%82%BF%E3%83%AB%E5%85%B1%E6%9C%89%E5%9C%B0%E5%9B%B3%EF%BC%89%E3%80%80","鈴鹿峠")</f>
        <v>鈴鹿峠</v>
      </c>
      <c r="N200" s="12" t="s">
        <v>417</v>
      </c>
      <c r="O200" s="12" t="s">
        <v>418</v>
      </c>
      <c r="P200" s="13" t="str">
        <f t="shared" si="3"/>
        <v>古典に出てくる亀山／旅／斎王の行列</v>
      </c>
      <c r="Q200" s="63"/>
      <c r="R200" s="11" t="s">
        <v>419</v>
      </c>
    </row>
    <row r="201" spans="1:18" s="6" customFormat="1" x14ac:dyDescent="0.15">
      <c r="A201" s="11" t="s">
        <v>386</v>
      </c>
      <c r="B201" s="11">
        <v>9</v>
      </c>
      <c r="C201" s="11" t="s">
        <v>420</v>
      </c>
      <c r="D201" s="11">
        <v>887</v>
      </c>
      <c r="E201" s="11" t="s">
        <v>20</v>
      </c>
      <c r="F201" s="61" t="s">
        <v>421</v>
      </c>
      <c r="G201" s="61"/>
      <c r="H201" s="61"/>
      <c r="I201" s="61"/>
      <c r="J201" s="61"/>
      <c r="K201" s="61"/>
      <c r="L201" s="11"/>
      <c r="M201" s="11"/>
      <c r="N201" s="12"/>
      <c r="O201" s="12" t="e">
        <v>#VALUE!</v>
      </c>
      <c r="P201" s="13" t="str">
        <f t="shared" si="3"/>
        <v/>
      </c>
      <c r="Q201" s="63"/>
      <c r="R201" s="11"/>
    </row>
    <row r="202" spans="1:18" s="6" customFormat="1" x14ac:dyDescent="0.15">
      <c r="A202" s="11" t="s">
        <v>386</v>
      </c>
      <c r="B202" s="11">
        <v>9</v>
      </c>
      <c r="C202" s="11" t="s">
        <v>420</v>
      </c>
      <c r="D202" s="11">
        <v>887</v>
      </c>
      <c r="E202" s="11" t="s">
        <v>20</v>
      </c>
      <c r="F202" s="61"/>
      <c r="G202" s="61" t="s">
        <v>422</v>
      </c>
      <c r="H202" s="61"/>
      <c r="I202" s="61"/>
      <c r="J202" s="61"/>
      <c r="K202" s="61"/>
      <c r="L202" s="11"/>
      <c r="M202" s="11"/>
      <c r="N202" s="12"/>
      <c r="O202" s="12" t="e">
        <v>#VALUE!</v>
      </c>
      <c r="P202" s="13" t="str">
        <f t="shared" si="3"/>
        <v/>
      </c>
      <c r="Q202" s="63"/>
      <c r="R202" s="11" t="s">
        <v>423</v>
      </c>
    </row>
    <row r="203" spans="1:18" s="6" customFormat="1" x14ac:dyDescent="0.15">
      <c r="A203" s="11" t="s">
        <v>386</v>
      </c>
      <c r="B203" s="11">
        <v>9</v>
      </c>
      <c r="C203" s="11" t="s">
        <v>424</v>
      </c>
      <c r="D203" s="11">
        <v>894</v>
      </c>
      <c r="E203" s="11" t="s">
        <v>59</v>
      </c>
      <c r="F203" s="61" t="s">
        <v>425</v>
      </c>
      <c r="G203" s="61"/>
      <c r="H203" s="61"/>
      <c r="I203" s="61"/>
      <c r="J203" s="61"/>
      <c r="K203" s="61"/>
      <c r="L203" s="11"/>
      <c r="M203" s="11"/>
      <c r="N203" s="12"/>
      <c r="O203" s="12" t="e">
        <v>#VALUE!</v>
      </c>
      <c r="P203" s="13" t="str">
        <f t="shared" si="3"/>
        <v/>
      </c>
      <c r="Q203" s="63"/>
      <c r="R203" s="11" t="s">
        <v>191</v>
      </c>
    </row>
    <row r="204" spans="1:18" s="6" customFormat="1" x14ac:dyDescent="0.15">
      <c r="A204" s="11" t="s">
        <v>386</v>
      </c>
      <c r="B204" s="11">
        <v>10</v>
      </c>
      <c r="C204" s="11"/>
      <c r="D204" s="11"/>
      <c r="E204" s="11" t="s">
        <v>20</v>
      </c>
      <c r="F204" s="61" t="s">
        <v>426</v>
      </c>
      <c r="G204" s="61"/>
      <c r="H204" s="61"/>
      <c r="I204" s="61"/>
      <c r="J204" s="61"/>
      <c r="K204" s="61"/>
      <c r="L204" s="11"/>
      <c r="M204" s="11"/>
      <c r="N204" s="12"/>
      <c r="O204" s="12" t="e">
        <v>#VALUE!</v>
      </c>
      <c r="P204" s="13" t="str">
        <f t="shared" si="3"/>
        <v/>
      </c>
      <c r="Q204" s="63"/>
      <c r="R204" s="11"/>
    </row>
    <row r="205" spans="1:18" s="6" customFormat="1" ht="36.75" customHeight="1" x14ac:dyDescent="0.15">
      <c r="A205" s="15" t="s">
        <v>386</v>
      </c>
      <c r="B205" s="15">
        <v>10</v>
      </c>
      <c r="C205" s="15" t="s">
        <v>427</v>
      </c>
      <c r="D205" s="15">
        <v>927</v>
      </c>
      <c r="E205" s="15" t="s">
        <v>20</v>
      </c>
      <c r="F205" s="62" t="s">
        <v>428</v>
      </c>
      <c r="G205" s="327" t="s">
        <v>429</v>
      </c>
      <c r="H205" s="62"/>
      <c r="I205" s="62"/>
      <c r="J205" s="62"/>
      <c r="K205" s="62"/>
      <c r="L205" s="15" t="s">
        <v>430</v>
      </c>
      <c r="M205" s="15" t="s">
        <v>431</v>
      </c>
      <c r="N205" s="32" t="s">
        <v>432</v>
      </c>
      <c r="O205" s="32" t="s">
        <v>98</v>
      </c>
      <c r="P205" s="33" t="str">
        <f t="shared" si="3"/>
        <v>亀山のむかしばなし／亀山にまつわるひとびとの話／ヤマトタケル</v>
      </c>
      <c r="Q205" s="17" t="str">
        <f>HYPERLINK("http:/kameyamarekihaku.jp/sisi/tuusiHP_next/tuusi-index.html#kochuusei0403","市史通史編 原始・古代・中世第4章第3節第3項")</f>
        <v>市史通史編 原始・古代・中世第4章第3節第3項</v>
      </c>
      <c r="R205" s="298" t="s">
        <v>433</v>
      </c>
    </row>
    <row r="206" spans="1:18" s="6" customFormat="1" ht="23.25" customHeight="1" x14ac:dyDescent="0.15">
      <c r="A206" s="26"/>
      <c r="B206" s="26"/>
      <c r="C206" s="26"/>
      <c r="D206" s="26"/>
      <c r="E206" s="26"/>
      <c r="F206" s="59"/>
      <c r="G206" s="328"/>
      <c r="H206" s="59"/>
      <c r="I206" s="59"/>
      <c r="J206" s="59"/>
      <c r="K206" s="59"/>
      <c r="L206" s="26"/>
      <c r="M206" s="27" t="str">
        <f>HYPERLINK("http://kameyamarekihaku.jp/sisi/tuusiHP_next/kochuusei/image/04/gi.htm?pf=1169sh092.JPG&amp;?pn=%20%E5%BF%8D%E5%B1%B1%E7%A5%9E%E7%A4%BE%EF%BC%88%E9%87%8E%E6%9D%91%E7%94%BA%EF%BC%89","忍山神社")</f>
        <v>忍山神社</v>
      </c>
      <c r="N206" s="19" t="s">
        <v>213</v>
      </c>
      <c r="O206" s="19" t="s">
        <v>105</v>
      </c>
      <c r="P206" s="20" t="str">
        <f t="shared" si="3"/>
        <v>古典に出てくる亀山／旅</v>
      </c>
      <c r="Q206" s="21" t="str">
        <f>HYPERLINK("http:/kameyamarekihaku.jp/sisi/tuusiHP_next/tuusi-index.html#kinsei0601","市史通史編 近世第6章第1節第1項")</f>
        <v>市史通史編 近世第6章第1節第1項</v>
      </c>
      <c r="R206" s="316"/>
    </row>
    <row r="207" spans="1:18" s="6" customFormat="1" ht="32.25" customHeight="1" x14ac:dyDescent="0.15">
      <c r="A207" s="26"/>
      <c r="B207" s="26"/>
      <c r="C207" s="26"/>
      <c r="D207" s="26"/>
      <c r="E207" s="26"/>
      <c r="F207" s="59"/>
      <c r="G207" s="70"/>
      <c r="H207" s="59"/>
      <c r="I207" s="59"/>
      <c r="J207" s="59"/>
      <c r="K207" s="59"/>
      <c r="L207" s="26"/>
      <c r="M207" s="27"/>
      <c r="N207" s="19" t="s">
        <v>434</v>
      </c>
      <c r="O207" s="19" t="s">
        <v>435</v>
      </c>
      <c r="P207" s="20" t="str">
        <f t="shared" si="3"/>
        <v>古典に出てくる亀山／物語／寺や神社の話</v>
      </c>
      <c r="Q207" s="21"/>
      <c r="R207" s="43"/>
    </row>
    <row r="208" spans="1:18" s="6" customFormat="1" ht="45.75" customHeight="1" x14ac:dyDescent="0.15">
      <c r="A208" s="26"/>
      <c r="B208" s="26"/>
      <c r="C208" s="26"/>
      <c r="D208" s="26"/>
      <c r="E208" s="26"/>
      <c r="F208" s="59"/>
      <c r="G208" s="70"/>
      <c r="H208" s="59"/>
      <c r="I208" s="59"/>
      <c r="J208" s="59"/>
      <c r="K208" s="59"/>
      <c r="L208" s="26"/>
      <c r="M208" s="27"/>
      <c r="N208" s="19" t="s">
        <v>436</v>
      </c>
      <c r="O208" s="19" t="s">
        <v>111</v>
      </c>
      <c r="P208" s="20" t="str">
        <f t="shared" si="3"/>
        <v>日本の歴史の中の亀山／古代の亀山／古代国家のあゆみと亀山／天平文化と亀山／ヤマトタケルと能褒野</v>
      </c>
      <c r="Q208" s="21"/>
      <c r="R208" s="43"/>
    </row>
    <row r="209" spans="1:18" s="6" customFormat="1" ht="30" customHeight="1" x14ac:dyDescent="0.15">
      <c r="A209" s="7"/>
      <c r="B209" s="7"/>
      <c r="C209" s="7"/>
      <c r="D209" s="7"/>
      <c r="E209" s="7"/>
      <c r="F209" s="60"/>
      <c r="G209" s="65"/>
      <c r="H209" s="60"/>
      <c r="I209" s="60"/>
      <c r="J209" s="60"/>
      <c r="K209" s="60"/>
      <c r="L209" s="7"/>
      <c r="M209" s="18"/>
      <c r="N209" s="29" t="s">
        <v>437</v>
      </c>
      <c r="O209" s="29" t="s">
        <v>438</v>
      </c>
      <c r="P209" s="30" t="str">
        <f t="shared" si="3"/>
        <v>亀山のいいとこさがし／手紙や本／むかしの本／延喜式</v>
      </c>
      <c r="Q209" s="10"/>
      <c r="R209" s="9"/>
    </row>
    <row r="210" spans="1:18" s="6" customFormat="1" x14ac:dyDescent="0.15">
      <c r="A210" s="11" t="s">
        <v>386</v>
      </c>
      <c r="B210" s="11">
        <v>10</v>
      </c>
      <c r="C210" s="11"/>
      <c r="D210" s="11"/>
      <c r="E210" s="11" t="s">
        <v>34</v>
      </c>
      <c r="F210" s="61" t="s">
        <v>439</v>
      </c>
      <c r="G210" s="61"/>
      <c r="H210" s="61"/>
      <c r="I210" s="61"/>
      <c r="J210" s="61"/>
      <c r="K210" s="61"/>
      <c r="L210" s="11" t="s">
        <v>440</v>
      </c>
      <c r="M210" s="11"/>
      <c r="N210" s="12"/>
      <c r="O210" s="12" t="e">
        <v>#VALUE!</v>
      </c>
      <c r="P210" s="13" t="str">
        <f t="shared" si="3"/>
        <v/>
      </c>
      <c r="Q210" s="63"/>
      <c r="R210" s="11" t="s">
        <v>441</v>
      </c>
    </row>
    <row r="211" spans="1:18" s="6" customFormat="1" x14ac:dyDescent="0.15">
      <c r="A211" s="11" t="s">
        <v>386</v>
      </c>
      <c r="B211" s="11">
        <v>10</v>
      </c>
      <c r="C211" s="11" t="s">
        <v>442</v>
      </c>
      <c r="D211" s="11">
        <v>935</v>
      </c>
      <c r="E211" s="11" t="s">
        <v>20</v>
      </c>
      <c r="F211" s="61" t="s">
        <v>443</v>
      </c>
      <c r="G211" s="61"/>
      <c r="H211" s="61"/>
      <c r="I211" s="61"/>
      <c r="J211" s="61"/>
      <c r="K211" s="61"/>
      <c r="L211" s="11"/>
      <c r="M211" s="11"/>
      <c r="N211" s="12"/>
      <c r="O211" s="12" t="e">
        <v>#VALUE!</v>
      </c>
      <c r="P211" s="13" t="str">
        <f t="shared" si="3"/>
        <v/>
      </c>
      <c r="Q211" s="63"/>
      <c r="R211" s="11"/>
    </row>
    <row r="212" spans="1:18" s="6" customFormat="1" ht="48.75" customHeight="1" x14ac:dyDescent="0.15">
      <c r="A212" s="11" t="s">
        <v>386</v>
      </c>
      <c r="B212" s="11">
        <v>10</v>
      </c>
      <c r="C212" s="11" t="s">
        <v>444</v>
      </c>
      <c r="D212" s="11">
        <v>939</v>
      </c>
      <c r="E212" s="11" t="s">
        <v>34</v>
      </c>
      <c r="F212" s="61" t="s">
        <v>445</v>
      </c>
      <c r="G212" s="61" t="s">
        <v>446</v>
      </c>
      <c r="H212" s="61"/>
      <c r="I212" s="61"/>
      <c r="J212" s="82"/>
      <c r="K212" s="61"/>
      <c r="L212" s="11"/>
      <c r="M212" s="22" t="str">
        <f>HYPERLINK("http://kameyamarekihaku.jp/sisi/tuusiHP_next/kochuusei/image/04/gi.htm?pf=1167sh091.JPG&amp;?pn=%E9%88%B4%E9%B9%BF%E9%A7%85%E8%B7%A1%E6%A8%99%E6%9F%B1","鈴鹿駅跡標柱")</f>
        <v>鈴鹿駅跡標柱</v>
      </c>
      <c r="N212" s="23"/>
      <c r="O212" s="23" t="e">
        <v>#VALUE!</v>
      </c>
      <c r="P212" s="24" t="str">
        <f t="shared" si="3"/>
        <v/>
      </c>
      <c r="Q212" s="25" t="str">
        <f>HYPERLINK("http:/kameyamarekihaku.jp/sisi/tuusiHP_next/tuusi-index.html#kochuusei0401","市史通史編 原始・古代・中世第4章第1節")</f>
        <v>市史通史編 原始・古代・中世第4章第1節</v>
      </c>
      <c r="R212" s="11" t="s">
        <v>447</v>
      </c>
    </row>
    <row r="213" spans="1:18" s="6" customFormat="1" ht="51" customHeight="1" x14ac:dyDescent="0.15">
      <c r="A213" s="11" t="s">
        <v>386</v>
      </c>
      <c r="B213" s="11">
        <v>10</v>
      </c>
      <c r="C213" s="11" t="s">
        <v>444</v>
      </c>
      <c r="D213" s="11">
        <v>939</v>
      </c>
      <c r="E213" s="11" t="s">
        <v>20</v>
      </c>
      <c r="F213" s="61"/>
      <c r="G213" s="61" t="s">
        <v>448</v>
      </c>
      <c r="H213" s="61" t="s">
        <v>28</v>
      </c>
      <c r="I213" s="61" t="s">
        <v>449</v>
      </c>
      <c r="J213" s="37" t="s">
        <v>450</v>
      </c>
      <c r="K213" s="61"/>
      <c r="L213" s="11"/>
      <c r="M213" s="11"/>
      <c r="N213" s="12" t="s">
        <v>289</v>
      </c>
      <c r="O213" s="12" t="s">
        <v>206</v>
      </c>
      <c r="P213" s="13" t="str">
        <f t="shared" si="3"/>
        <v>亀山のいいとこさがし／景色のよいところや歴史を知る手掛かりとなるもの／歴史上の場所／鈴鹿関跡（２）</v>
      </c>
      <c r="Q213" s="63"/>
      <c r="R213" s="11" t="s">
        <v>451</v>
      </c>
    </row>
    <row r="214" spans="1:18" s="6" customFormat="1" x14ac:dyDescent="0.15">
      <c r="A214" s="11" t="s">
        <v>386</v>
      </c>
      <c r="B214" s="11">
        <v>10</v>
      </c>
      <c r="C214" s="11" t="s">
        <v>452</v>
      </c>
      <c r="D214" s="11">
        <v>940</v>
      </c>
      <c r="E214" s="11" t="s">
        <v>20</v>
      </c>
      <c r="F214" s="61" t="s">
        <v>453</v>
      </c>
      <c r="G214" s="61"/>
      <c r="H214" s="61"/>
      <c r="I214" s="61"/>
      <c r="J214" s="61"/>
      <c r="K214" s="61"/>
      <c r="L214" s="11"/>
      <c r="M214" s="11"/>
      <c r="N214" s="12"/>
      <c r="O214" s="12" t="e">
        <v>#VALUE!</v>
      </c>
      <c r="P214" s="13" t="str">
        <f t="shared" si="3"/>
        <v/>
      </c>
      <c r="Q214" s="63"/>
      <c r="R214" s="11"/>
    </row>
    <row r="215" spans="1:18" s="6" customFormat="1" ht="51" customHeight="1" x14ac:dyDescent="0.15">
      <c r="A215" s="11" t="s">
        <v>386</v>
      </c>
      <c r="B215" s="11">
        <v>10</v>
      </c>
      <c r="C215" s="11" t="s">
        <v>452</v>
      </c>
      <c r="D215" s="11">
        <v>940</v>
      </c>
      <c r="E215" s="11" t="s">
        <v>20</v>
      </c>
      <c r="F215" s="61"/>
      <c r="G215" s="61" t="s">
        <v>454</v>
      </c>
      <c r="H215" s="61" t="s">
        <v>28</v>
      </c>
      <c r="I215" s="61" t="s">
        <v>449</v>
      </c>
      <c r="J215" s="37" t="s">
        <v>450</v>
      </c>
      <c r="K215" s="61"/>
      <c r="L215" s="11"/>
      <c r="M215" s="11"/>
      <c r="N215" s="12" t="s">
        <v>455</v>
      </c>
      <c r="O215" s="12" t="s">
        <v>206</v>
      </c>
      <c r="P215" s="13" t="str">
        <f t="shared" si="3"/>
        <v>亀山のいいとこさがし／景色のよいところや歴史を知る手掛かりとなるもの／歴史上の場所／鈴鹿関跡（２）</v>
      </c>
      <c r="Q215" s="63"/>
      <c r="R215" s="11" t="s">
        <v>456</v>
      </c>
    </row>
    <row r="216" spans="1:18" s="6" customFormat="1" ht="31.7" customHeight="1" x14ac:dyDescent="0.15">
      <c r="A216" s="11" t="s">
        <v>386</v>
      </c>
      <c r="B216" s="11">
        <v>10</v>
      </c>
      <c r="C216" s="11"/>
      <c r="D216" s="11"/>
      <c r="E216" s="11" t="s">
        <v>34</v>
      </c>
      <c r="F216" s="61"/>
      <c r="G216" s="61" t="s">
        <v>457</v>
      </c>
      <c r="H216" s="11" t="s">
        <v>458</v>
      </c>
      <c r="I216" s="11" t="s">
        <v>459</v>
      </c>
      <c r="J216" s="11" t="s">
        <v>460</v>
      </c>
      <c r="K216" s="61"/>
      <c r="L216" s="11"/>
      <c r="M216" s="11" t="s">
        <v>461</v>
      </c>
      <c r="N216" s="12"/>
      <c r="O216" s="12" t="e">
        <v>#VALUE!</v>
      </c>
      <c r="P216" s="13" t="str">
        <f t="shared" si="3"/>
        <v/>
      </c>
      <c r="Q216" s="14"/>
      <c r="R216" s="11" t="s">
        <v>462</v>
      </c>
    </row>
    <row r="217" spans="1:18" s="6" customFormat="1" ht="15" customHeight="1" x14ac:dyDescent="0.15">
      <c r="A217" s="15" t="s">
        <v>386</v>
      </c>
      <c r="B217" s="15">
        <v>10</v>
      </c>
      <c r="C217" s="88"/>
      <c r="D217" s="89"/>
      <c r="E217" s="15" t="s">
        <v>20</v>
      </c>
      <c r="F217" s="15"/>
      <c r="G217" s="298" t="s">
        <v>463</v>
      </c>
      <c r="H217" s="15" t="s">
        <v>464</v>
      </c>
      <c r="I217" s="15" t="s">
        <v>465</v>
      </c>
      <c r="J217" s="16" t="str">
        <f>HYPERLINK("http://kameyamarekihaku.jp/sisi/koukoHP/archives/ooyabu/01/01-02/gi.html?pf=OOYB0101-01-003.JPG&amp;pn=%E5%A4%A7%E8%97%AA%E9%81%BA%E8%B7%A1%E8%AA%BF%E6%9F%BB%E5%89%8D%E7%8A%B6%E6%B3%81","大藪遺跡
")</f>
        <v xml:space="preserve">大藪遺跡
</v>
      </c>
      <c r="K217" s="15"/>
      <c r="L217" s="16"/>
      <c r="M217" s="16"/>
      <c r="N217" s="310" t="s">
        <v>466</v>
      </c>
      <c r="O217" s="310" t="s">
        <v>254</v>
      </c>
      <c r="P217" s="311" t="str">
        <f t="shared" si="3"/>
        <v>日本の歴史の中の亀山／古代の亀山／古代国家のあゆみと亀山／飛鳥時代の亀山／古代の亀山を調べる／さまざまな古代遺跡</v>
      </c>
      <c r="Q217" s="337" t="str">
        <f>HYPERLINK("http:/kameyamarekihaku.jp/sisi/KoukoHP/iseki.html","市史考古編遺跡一覧NO.1、29、54")</f>
        <v>市史考古編遺跡一覧NO.1、29、54</v>
      </c>
      <c r="R217" s="298" t="s">
        <v>467</v>
      </c>
    </row>
    <row r="218" spans="1:18" s="6" customFormat="1" ht="18.75" customHeight="1" x14ac:dyDescent="0.15">
      <c r="A218" s="26"/>
      <c r="B218" s="26"/>
      <c r="C218" s="90"/>
      <c r="D218" s="26"/>
      <c r="E218" s="26"/>
      <c r="F218" s="26"/>
      <c r="G218" s="316"/>
      <c r="H218" s="26" t="s">
        <v>468</v>
      </c>
      <c r="I218" s="26" t="s">
        <v>469</v>
      </c>
      <c r="J218" s="27" t="str">
        <f>HYPERLINK("http://kameyamarekihaku.jp/sisi/koukoHP/archives/koujyakai1/01/06/gi.html?pf=KG106-651.JPG&amp;pn=%E7%B3%80%E5%B1%8B%E5%9E%A3%E5%86%85%E9%81%BA%E8%B7%A1%E7%AC%AC1%E6%AC%A1%E8%AA%BF%E6%9F%BB%E8%88%AA%E7%A9%BA%E5%86%99%E7%9C%9F","糀屋垣内遺跡")</f>
        <v>糀屋垣内遺跡</v>
      </c>
      <c r="K218" s="26"/>
      <c r="L218" s="27" t="str">
        <f>HYPERLINK("http://kameyamarekihaku.jp/sisi/koukoHP/archives/koujyakai1/01/01/gi.html?pf=KG101-066.JPG&amp;pn=%E7%B3%80%E5%B1%8B%E5%9E%A3%E5%86%85%E9%81%BA%E8%B7%A1%E5%87%BA%E5%9C%9F%E7%8A%B6%E6%B3%81","糀屋垣内遺跡出土品")</f>
        <v>糀屋垣内遺跡出土品</v>
      </c>
      <c r="M218" s="27"/>
      <c r="N218" s="317"/>
      <c r="O218" s="317" t="e">
        <v>#VALUE!</v>
      </c>
      <c r="P218" s="318" t="str">
        <f t="shared" si="3"/>
        <v/>
      </c>
      <c r="Q218" s="338"/>
      <c r="R218" s="316"/>
    </row>
    <row r="219" spans="1:18" s="6" customFormat="1" ht="33" customHeight="1" x14ac:dyDescent="0.15">
      <c r="A219" s="26"/>
      <c r="B219" s="26"/>
      <c r="C219" s="90"/>
      <c r="D219" s="26"/>
      <c r="E219" s="26"/>
      <c r="F219" s="26"/>
      <c r="G219" s="316"/>
      <c r="H219" s="26" t="s">
        <v>40</v>
      </c>
      <c r="I219" s="26" t="s">
        <v>470</v>
      </c>
      <c r="J219" s="27" t="str">
        <f>HYPERLINK("http://kameyamarekihaku.jp/sisi/koukoHP/archives/oohana/01/01-02/gi.html?pf=OOHA01-09.JPG&amp;pn=%E5%A4%A7%E9%BC%BB%E9%81%BA%E8%B7%A1%EF%BC%B6%E5%8C%BA%E8%AA%BF%E6%9F%BB%E5%BE%8C%E5%85%A8%E6%99%AF","大鼻遺跡")</f>
        <v>大鼻遺跡</v>
      </c>
      <c r="K219" s="26"/>
      <c r="L219" s="26"/>
      <c r="M219" s="27"/>
      <c r="N219" s="317"/>
      <c r="O219" s="317" t="e">
        <v>#VALUE!</v>
      </c>
      <c r="P219" s="318" t="str">
        <f t="shared" si="3"/>
        <v/>
      </c>
      <c r="Q219" s="338"/>
      <c r="R219" s="316"/>
    </row>
    <row r="220" spans="1:18" s="6" customFormat="1" ht="46.5" customHeight="1" x14ac:dyDescent="0.15">
      <c r="A220" s="7"/>
      <c r="B220" s="7"/>
      <c r="C220" s="91"/>
      <c r="D220" s="7"/>
      <c r="E220" s="7"/>
      <c r="F220" s="7"/>
      <c r="G220" s="299"/>
      <c r="H220" s="7" t="s">
        <v>162</v>
      </c>
      <c r="I220" s="7" t="s">
        <v>471</v>
      </c>
      <c r="J220" s="27" t="str">
        <f>HYPERLINK("http://kameyamarekihaku.jp/sisi/koukoHP/archives/syoutiura/01/01-01/gi.html?pf=SETI01-14.JPG&amp;pn=%E6%AD%A3%E7%9F%A5%E6%B5%A6%E9%81%BA%E8%B7%A1%E7%AC%AC%E4%B8%80%E6%AC%A1%E7%99%BA%E6%8E%98%E8%AA%BF%E6%9F%BB","正知浦遺跡")</f>
        <v>正知浦遺跡</v>
      </c>
      <c r="K220" s="7"/>
      <c r="L220" s="7"/>
      <c r="M220" s="27"/>
      <c r="N220" s="29" t="s">
        <v>472</v>
      </c>
      <c r="O220" s="29" t="s">
        <v>134</v>
      </c>
      <c r="P220" s="30" t="str">
        <f t="shared" si="3"/>
        <v>日本の歴史の中の亀山／古代の亀山／古代国家のあゆみと亀山／飛鳥時代の亀山／仏教の伝来</v>
      </c>
      <c r="Q220" s="339"/>
      <c r="R220" s="299"/>
    </row>
    <row r="221" spans="1:18" s="6" customFormat="1" ht="24" customHeight="1" x14ac:dyDescent="0.15">
      <c r="A221" s="15" t="s">
        <v>386</v>
      </c>
      <c r="B221" s="15">
        <v>11</v>
      </c>
      <c r="C221" s="15"/>
      <c r="D221" s="15"/>
      <c r="E221" s="15" t="s">
        <v>34</v>
      </c>
      <c r="F221" s="62" t="s">
        <v>473</v>
      </c>
      <c r="G221" s="327" t="s">
        <v>474</v>
      </c>
      <c r="H221" s="62" t="s">
        <v>28</v>
      </c>
      <c r="I221" s="62" t="s">
        <v>475</v>
      </c>
      <c r="J221" s="62" t="s">
        <v>476</v>
      </c>
      <c r="K221" s="327" t="s">
        <v>477</v>
      </c>
      <c r="L221" s="92" t="str">
        <f>HYPERLINK("http://kameyamarekihaku.jp/yane_no_nai/unit_leaf/A-5.pdf","歴博貸出ユニットA－５")</f>
        <v>歴博貸出ユニットA－５</v>
      </c>
      <c r="M221" s="15" t="s">
        <v>478</v>
      </c>
      <c r="N221" s="93" t="s">
        <v>357</v>
      </c>
      <c r="O221" s="94" t="s">
        <v>358</v>
      </c>
      <c r="P221" s="95" t="str">
        <f t="shared" si="3"/>
        <v>古典に出てくる亀山／歌／鈴鹿川</v>
      </c>
      <c r="Q221" s="37"/>
      <c r="R221" s="15" t="s">
        <v>451</v>
      </c>
    </row>
    <row r="222" spans="1:18" s="6" customFormat="1" ht="41.25" customHeight="1" x14ac:dyDescent="0.15">
      <c r="A222" s="26"/>
      <c r="B222" s="26"/>
      <c r="C222" s="26"/>
      <c r="D222" s="26"/>
      <c r="E222" s="26"/>
      <c r="F222" s="59"/>
      <c r="G222" s="328"/>
      <c r="H222" s="59"/>
      <c r="I222" s="59"/>
      <c r="J222" s="59"/>
      <c r="K222" s="328"/>
      <c r="L222" s="96" t="str">
        <f>HYPERLINK("http://kameyamarekihaku.jp/yane_no_nai/unit_leaf/A-6.pdf","歴博貸出ユニットA－６")</f>
        <v>歴博貸出ユニットA－６</v>
      </c>
      <c r="M222" s="26"/>
      <c r="N222" s="97" t="s">
        <v>479</v>
      </c>
      <c r="O222" s="98" t="s">
        <v>480</v>
      </c>
      <c r="P222" s="99" t="str">
        <f t="shared" si="3"/>
        <v>日本の歴史の中の亀山／古代の亀山／古代国家のあゆみと亀山／国風文化と亀山／源氏物語</v>
      </c>
      <c r="Q222" s="100"/>
      <c r="R222" s="26"/>
    </row>
    <row r="223" spans="1:18" s="6" customFormat="1" ht="45" customHeight="1" x14ac:dyDescent="0.15">
      <c r="A223" s="26"/>
      <c r="B223" s="26"/>
      <c r="C223" s="26"/>
      <c r="D223" s="26"/>
      <c r="E223" s="26"/>
      <c r="F223" s="59"/>
      <c r="G223" s="70"/>
      <c r="H223" s="59"/>
      <c r="I223" s="59"/>
      <c r="J223" s="59"/>
      <c r="K223" s="70"/>
      <c r="L223" s="101"/>
      <c r="M223" s="26"/>
      <c r="N223" s="97" t="s">
        <v>455</v>
      </c>
      <c r="O223" s="98" t="s">
        <v>206</v>
      </c>
      <c r="P223" s="99" t="str">
        <f t="shared" si="3"/>
        <v>亀山のいいとこさがし／景色のよいところや歴史を知る手掛かりとなるもの／歴史上の場所／鈴鹿関跡（２）</v>
      </c>
      <c r="Q223" s="100"/>
      <c r="R223" s="26"/>
    </row>
    <row r="224" spans="1:18" s="6" customFormat="1" ht="27" customHeight="1" x14ac:dyDescent="0.15">
      <c r="A224" s="26"/>
      <c r="B224" s="26"/>
      <c r="C224" s="26"/>
      <c r="D224" s="26"/>
      <c r="E224" s="26"/>
      <c r="F224" s="59"/>
      <c r="G224" s="70"/>
      <c r="H224" s="59"/>
      <c r="I224" s="59"/>
      <c r="J224" s="59"/>
      <c r="K224" s="70"/>
      <c r="L224" s="101"/>
      <c r="M224" s="26"/>
      <c r="N224" s="97" t="s">
        <v>481</v>
      </c>
      <c r="O224" s="98" t="s">
        <v>365</v>
      </c>
      <c r="P224" s="99" t="str">
        <f t="shared" si="3"/>
        <v>亀山のいいとこさがし／景色のよいところや歴史を知る手掛かりとなるもの／川</v>
      </c>
      <c r="Q224" s="100"/>
      <c r="R224" s="26"/>
    </row>
    <row r="225" spans="1:18" s="6" customFormat="1" ht="27" x14ac:dyDescent="0.15">
      <c r="A225" s="11" t="s">
        <v>386</v>
      </c>
      <c r="B225" s="11">
        <v>11</v>
      </c>
      <c r="C225" s="11" t="s">
        <v>482</v>
      </c>
      <c r="D225" s="11">
        <v>1016</v>
      </c>
      <c r="E225" s="11" t="s">
        <v>20</v>
      </c>
      <c r="F225" s="61" t="s">
        <v>483</v>
      </c>
      <c r="G225" s="61"/>
      <c r="H225" s="61"/>
      <c r="I225" s="61"/>
      <c r="J225" s="61"/>
      <c r="K225" s="61"/>
      <c r="L225" s="11"/>
      <c r="M225" s="11"/>
      <c r="N225" s="12"/>
      <c r="O225" s="12" t="e">
        <v>#VALUE!</v>
      </c>
      <c r="P225" s="13" t="str">
        <f t="shared" si="3"/>
        <v/>
      </c>
      <c r="Q225" s="63"/>
      <c r="R225" s="11"/>
    </row>
    <row r="226" spans="1:18" s="6" customFormat="1" x14ac:dyDescent="0.15">
      <c r="A226" s="11" t="s">
        <v>386</v>
      </c>
      <c r="B226" s="11">
        <v>11</v>
      </c>
      <c r="C226" s="11"/>
      <c r="D226" s="11"/>
      <c r="E226" s="11" t="s">
        <v>34</v>
      </c>
      <c r="F226" s="61" t="s">
        <v>484</v>
      </c>
      <c r="G226" s="61"/>
      <c r="H226" s="61"/>
      <c r="I226" s="61"/>
      <c r="J226" s="61"/>
      <c r="K226" s="61"/>
      <c r="L226" s="11"/>
      <c r="M226" s="11"/>
      <c r="N226" s="12"/>
      <c r="O226" s="12" t="e">
        <v>#VALUE!</v>
      </c>
      <c r="P226" s="13" t="str">
        <f t="shared" si="3"/>
        <v/>
      </c>
      <c r="Q226" s="63"/>
      <c r="R226" s="11"/>
    </row>
    <row r="227" spans="1:18" s="6" customFormat="1" ht="27" customHeight="1" x14ac:dyDescent="0.15">
      <c r="A227" s="11" t="s">
        <v>386</v>
      </c>
      <c r="B227" s="11">
        <v>11</v>
      </c>
      <c r="C227" s="11" t="s">
        <v>485</v>
      </c>
      <c r="D227" s="11">
        <v>1037</v>
      </c>
      <c r="E227" s="11" t="s">
        <v>20</v>
      </c>
      <c r="F227" s="61"/>
      <c r="G227" s="61" t="s">
        <v>486</v>
      </c>
      <c r="H227" s="61" t="s">
        <v>199</v>
      </c>
      <c r="I227" s="61" t="s">
        <v>405</v>
      </c>
      <c r="J227" s="61" t="s">
        <v>487</v>
      </c>
      <c r="K227" s="61"/>
      <c r="L227" s="11"/>
      <c r="M227" s="11" t="s">
        <v>488</v>
      </c>
      <c r="N227" s="12"/>
      <c r="O227" s="12" t="e">
        <v>#VALUE!</v>
      </c>
      <c r="P227" s="13" t="str">
        <f t="shared" si="3"/>
        <v/>
      </c>
      <c r="Q227" s="63"/>
      <c r="R227" s="11" t="s">
        <v>489</v>
      </c>
    </row>
    <row r="228" spans="1:18" s="6" customFormat="1" x14ac:dyDescent="0.15">
      <c r="A228" s="11" t="s">
        <v>386</v>
      </c>
      <c r="B228" s="11">
        <v>11</v>
      </c>
      <c r="C228" s="11" t="s">
        <v>490</v>
      </c>
      <c r="D228" s="11">
        <v>1053</v>
      </c>
      <c r="E228" s="11" t="s">
        <v>34</v>
      </c>
      <c r="F228" s="61" t="s">
        <v>491</v>
      </c>
      <c r="G228" s="61"/>
      <c r="H228" s="61"/>
      <c r="I228" s="61"/>
      <c r="J228" s="61"/>
      <c r="K228" s="61"/>
      <c r="L228" s="11"/>
      <c r="M228" s="11"/>
      <c r="N228" s="12"/>
      <c r="O228" s="12" t="e">
        <v>#VALUE!</v>
      </c>
      <c r="P228" s="13" t="str">
        <f t="shared" si="3"/>
        <v/>
      </c>
      <c r="Q228" s="63"/>
      <c r="R228" s="11"/>
    </row>
    <row r="229" spans="1:18" s="6" customFormat="1" x14ac:dyDescent="0.15">
      <c r="A229" s="11" t="s">
        <v>386</v>
      </c>
      <c r="B229" s="11">
        <v>11</v>
      </c>
      <c r="C229" s="11"/>
      <c r="D229" s="11"/>
      <c r="E229" s="11" t="s">
        <v>20</v>
      </c>
      <c r="F229" s="61" t="s">
        <v>492</v>
      </c>
      <c r="G229" s="61"/>
      <c r="H229" s="61"/>
      <c r="I229" s="61"/>
      <c r="J229" s="61"/>
      <c r="K229" s="61"/>
      <c r="L229" s="11"/>
      <c r="M229" s="11"/>
      <c r="N229" s="12"/>
      <c r="O229" s="12" t="e">
        <v>#VALUE!</v>
      </c>
      <c r="P229" s="13" t="str">
        <f t="shared" si="3"/>
        <v/>
      </c>
      <c r="Q229" s="63"/>
      <c r="R229" s="11"/>
    </row>
    <row r="230" spans="1:18" s="6" customFormat="1" x14ac:dyDescent="0.15">
      <c r="A230" s="11" t="s">
        <v>386</v>
      </c>
      <c r="B230" s="11">
        <v>11</v>
      </c>
      <c r="C230" s="11" t="s">
        <v>493</v>
      </c>
      <c r="D230" s="11">
        <v>1069</v>
      </c>
      <c r="E230" s="11" t="s">
        <v>20</v>
      </c>
      <c r="F230" s="61" t="s">
        <v>494</v>
      </c>
      <c r="G230" s="61"/>
      <c r="H230" s="61"/>
      <c r="I230" s="61"/>
      <c r="J230" s="61"/>
      <c r="K230" s="61"/>
      <c r="L230" s="11"/>
      <c r="M230" s="11"/>
      <c r="N230" s="12"/>
      <c r="O230" s="12" t="e">
        <v>#VALUE!</v>
      </c>
      <c r="P230" s="13" t="str">
        <f t="shared" si="3"/>
        <v/>
      </c>
      <c r="Q230" s="63"/>
      <c r="R230" s="11"/>
    </row>
    <row r="231" spans="1:18" s="6" customFormat="1" x14ac:dyDescent="0.15">
      <c r="A231" s="11" t="s">
        <v>386</v>
      </c>
      <c r="B231" s="11">
        <v>11</v>
      </c>
      <c r="C231" s="11"/>
      <c r="D231" s="11"/>
      <c r="E231" s="11" t="s">
        <v>20</v>
      </c>
      <c r="F231" s="61" t="s">
        <v>495</v>
      </c>
      <c r="G231" s="61"/>
      <c r="H231" s="61"/>
      <c r="I231" s="61"/>
      <c r="J231" s="61"/>
      <c r="K231" s="61"/>
      <c r="L231" s="11"/>
      <c r="M231" s="11"/>
      <c r="N231" s="12"/>
      <c r="O231" s="12" t="e">
        <v>#VALUE!</v>
      </c>
      <c r="P231" s="13" t="str">
        <f t="shared" si="3"/>
        <v/>
      </c>
      <c r="Q231" s="63"/>
      <c r="R231" s="11"/>
    </row>
    <row r="232" spans="1:18" s="6" customFormat="1" x14ac:dyDescent="0.15">
      <c r="A232" s="11" t="s">
        <v>386</v>
      </c>
      <c r="B232" s="11">
        <v>11</v>
      </c>
      <c r="C232" s="11" t="s">
        <v>496</v>
      </c>
      <c r="D232" s="11">
        <v>1086</v>
      </c>
      <c r="E232" s="11" t="s">
        <v>20</v>
      </c>
      <c r="F232" s="61" t="s">
        <v>497</v>
      </c>
      <c r="G232" s="61"/>
      <c r="H232" s="61"/>
      <c r="I232" s="61"/>
      <c r="J232" s="61"/>
      <c r="K232" s="61"/>
      <c r="L232" s="11"/>
      <c r="M232" s="11"/>
      <c r="N232" s="12"/>
      <c r="O232" s="12" t="e">
        <v>#VALUE!</v>
      </c>
      <c r="P232" s="13" t="str">
        <f t="shared" si="3"/>
        <v/>
      </c>
      <c r="Q232" s="63"/>
      <c r="R232" s="11"/>
    </row>
    <row r="233" spans="1:18" s="6" customFormat="1" ht="13.7" customHeight="1" x14ac:dyDescent="0.15">
      <c r="A233" s="15" t="s">
        <v>386</v>
      </c>
      <c r="B233" s="15">
        <v>12</v>
      </c>
      <c r="C233" s="298" t="s">
        <v>498</v>
      </c>
      <c r="D233" s="15"/>
      <c r="E233" s="15" t="s">
        <v>499</v>
      </c>
      <c r="F233" s="62"/>
      <c r="G233" s="327" t="s">
        <v>500</v>
      </c>
      <c r="H233" s="62" t="s">
        <v>501</v>
      </c>
      <c r="I233" s="62" t="s">
        <v>502</v>
      </c>
      <c r="J233" s="71" t="str">
        <f>HYPERLINK("http://kameyamarekihaku.jp/sisi/tuusiHP_next/kochuusei/image/06/gi.htm?pf=1205sh112.JPG&amp;?pn=%20%E7%A9%BA%E3%81%8B%E3%82%89%E8%A6%8B%E3%81%9F%E7%B6%B2%E4%B8%AD%E9%81%BA%E8%B7%A1%EF%BC%88%E8%BE%BA%E6%B3%95%E5%AF%BA%E7%94%BA%EF%BC%89","網中遺跡")</f>
        <v>網中遺跡</v>
      </c>
      <c r="K233" s="62"/>
      <c r="L233" s="15" t="s">
        <v>503</v>
      </c>
      <c r="M233" s="15"/>
      <c r="N233" s="310" t="s">
        <v>168</v>
      </c>
      <c r="O233" s="310" t="s">
        <v>154</v>
      </c>
      <c r="P233" s="311" t="str">
        <f t="shared" si="3"/>
        <v>日本の歴史の中の亀山／古代の亀山／亀山のあけぼの／大王の時代と亀山の古墳／亀山の古墳文化／須恵器</v>
      </c>
      <c r="Q233" s="21" t="str">
        <f>HYPERLINK("http:/kameyamarekihaku.jp/sisi/KoukoHP/iseki.html","市史考古編遺跡一覧N0.44")</f>
        <v>市史考古編遺跡一覧N0.44</v>
      </c>
      <c r="R233" s="298" t="s">
        <v>504</v>
      </c>
    </row>
    <row r="234" spans="1:18" s="6" customFormat="1" x14ac:dyDescent="0.15">
      <c r="A234" s="26"/>
      <c r="B234" s="26"/>
      <c r="C234" s="316"/>
      <c r="D234" s="26"/>
      <c r="E234" s="26"/>
      <c r="F234" s="59"/>
      <c r="G234" s="328"/>
      <c r="H234" s="59"/>
      <c r="I234" s="59"/>
      <c r="J234" s="76"/>
      <c r="K234" s="59"/>
      <c r="L234" s="27" t="str">
        <f>HYPERLINK("http://kameyamarekihaku.jp/sisi/KoukoHP/archives/aminaka04/08/08-01/gi.html?pf=ami04-0237.jpg&amp;pn=%E6%9C%A8%E6%9D%AD%E5%88%97","木杭")</f>
        <v>木杭</v>
      </c>
      <c r="M234" s="26"/>
      <c r="N234" s="317"/>
      <c r="O234" s="317" t="e">
        <v>#VALUE!</v>
      </c>
      <c r="P234" s="318" t="str">
        <f t="shared" si="3"/>
        <v/>
      </c>
      <c r="Q234" s="21"/>
      <c r="R234" s="316"/>
    </row>
    <row r="235" spans="1:18" s="6" customFormat="1" ht="31.5" customHeight="1" x14ac:dyDescent="0.15">
      <c r="A235" s="26"/>
      <c r="B235" s="26"/>
      <c r="C235" s="316"/>
      <c r="D235" s="26"/>
      <c r="E235" s="26"/>
      <c r="F235" s="59"/>
      <c r="G235" s="328"/>
      <c r="H235" s="59"/>
      <c r="I235" s="59"/>
      <c r="J235" s="76"/>
      <c r="K235" s="59"/>
      <c r="L235" s="39" t="s">
        <v>505</v>
      </c>
      <c r="M235" s="26"/>
      <c r="N235" s="317"/>
      <c r="O235" s="317" t="e">
        <v>#VALUE!</v>
      </c>
      <c r="P235" s="318" t="str">
        <f t="shared" si="3"/>
        <v/>
      </c>
      <c r="Q235" s="21"/>
      <c r="R235" s="316"/>
    </row>
    <row r="236" spans="1:18" s="6" customFormat="1" ht="58.5" customHeight="1" x14ac:dyDescent="0.15">
      <c r="A236" s="26"/>
      <c r="B236" s="26"/>
      <c r="C236" s="43"/>
      <c r="D236" s="26"/>
      <c r="E236" s="26"/>
      <c r="F236" s="59"/>
      <c r="G236" s="70"/>
      <c r="H236" s="59"/>
      <c r="I236" s="59"/>
      <c r="J236" s="76"/>
      <c r="K236" s="59"/>
      <c r="L236" s="39"/>
      <c r="M236" s="26"/>
      <c r="N236" s="19" t="s">
        <v>466</v>
      </c>
      <c r="O236" s="19" t="s">
        <v>254</v>
      </c>
      <c r="P236" s="20" t="str">
        <f t="shared" si="3"/>
        <v>日本の歴史の中の亀山／古代の亀山／古代国家のあゆみと亀山／飛鳥時代の亀山／古代の亀山を調べる／さまざまな古代遺跡</v>
      </c>
      <c r="Q236" s="21"/>
      <c r="R236" s="43"/>
    </row>
    <row r="237" spans="1:18" s="6" customFormat="1" ht="44.25" customHeight="1" x14ac:dyDescent="0.15">
      <c r="A237" s="7"/>
      <c r="B237" s="7"/>
      <c r="C237" s="9"/>
      <c r="D237" s="7"/>
      <c r="E237" s="7"/>
      <c r="F237" s="60"/>
      <c r="G237" s="65"/>
      <c r="H237" s="60"/>
      <c r="I237" s="60"/>
      <c r="J237" s="102"/>
      <c r="K237" s="60"/>
      <c r="L237" s="72"/>
      <c r="M237" s="7"/>
      <c r="N237" s="29" t="s">
        <v>506</v>
      </c>
      <c r="O237" s="29" t="s">
        <v>507</v>
      </c>
      <c r="P237" s="30" t="str">
        <f t="shared" si="3"/>
        <v>日本の歴史の中の亀山／古代の亀山／古代国家のあゆみと亀山／地域の開発／田を開く</v>
      </c>
      <c r="Q237" s="10"/>
      <c r="R237" s="9"/>
    </row>
    <row r="238" spans="1:18" s="6" customFormat="1" ht="39.75" customHeight="1" x14ac:dyDescent="0.15">
      <c r="A238" s="15" t="s">
        <v>386</v>
      </c>
      <c r="B238" s="15">
        <v>12</v>
      </c>
      <c r="C238" s="15" t="s">
        <v>498</v>
      </c>
      <c r="D238" s="15"/>
      <c r="E238" s="15" t="s">
        <v>34</v>
      </c>
      <c r="F238" s="62" t="s">
        <v>508</v>
      </c>
      <c r="G238" s="62" t="s">
        <v>509</v>
      </c>
      <c r="H238" s="62" t="s">
        <v>199</v>
      </c>
      <c r="I238" s="62" t="s">
        <v>405</v>
      </c>
      <c r="J238" s="62" t="s">
        <v>487</v>
      </c>
      <c r="K238" s="62"/>
      <c r="L238" s="15"/>
      <c r="M238" s="16" t="str">
        <f>HYPERLINK("http://kameyamarekihaku.jp/sisi/tuusiHP_next/kochuusei/image/06/gi.htm?pf=1187sh102.JPG&amp;?pn=%E9%88%B4%E9%B9%BF%E5%B3%A0%EF%BC%88%E3%83%87%E3%82%B8%E3%82%BF%E3%83%AB%E5%85%B1%E6%9C%89%E5%9C%B0%E5%9B%B3%EF%BC%89%E3%80%80","鈴鹿峠")</f>
        <v>鈴鹿峠</v>
      </c>
      <c r="N238" s="32" t="s">
        <v>510</v>
      </c>
      <c r="O238" s="32" t="s">
        <v>511</v>
      </c>
      <c r="P238" s="33" t="str">
        <f t="shared" si="3"/>
        <v>亀山のむかしばなし／ふしぎなおはなし／商人と蜂</v>
      </c>
      <c r="Q238" s="17" t="str">
        <f>HYPERLINK("http:/kameyamarekihaku.jp/sisi/tuusiHP_next/tuusi-index.html#kochuusei0501","市史通史編 原始・古代・中世第5章第1節")</f>
        <v>市史通史編 原始・古代・中世第5章第1節</v>
      </c>
      <c r="R238" s="15" t="s">
        <v>433</v>
      </c>
    </row>
    <row r="239" spans="1:18" s="6" customFormat="1" ht="47.25" customHeight="1" x14ac:dyDescent="0.15">
      <c r="A239" s="7"/>
      <c r="B239" s="7"/>
      <c r="C239" s="7"/>
      <c r="D239" s="7"/>
      <c r="E239" s="7"/>
      <c r="F239" s="60"/>
      <c r="G239" s="60"/>
      <c r="H239" s="60"/>
      <c r="I239" s="60"/>
      <c r="J239" s="60"/>
      <c r="K239" s="60"/>
      <c r="L239" s="7"/>
      <c r="M239" s="18"/>
      <c r="N239" s="29" t="s">
        <v>512</v>
      </c>
      <c r="O239" s="29" t="s">
        <v>513</v>
      </c>
      <c r="P239" s="30" t="str">
        <f t="shared" si="3"/>
        <v>日本の歴史の中の亀山／古代の亀山／古代国家のあゆみと亀山／国風文化と亀山／今昔物語集</v>
      </c>
      <c r="Q239" s="10"/>
      <c r="R239" s="7"/>
    </row>
    <row r="240" spans="1:18" s="6" customFormat="1" ht="42" customHeight="1" x14ac:dyDescent="0.15">
      <c r="A240" s="15" t="s">
        <v>386</v>
      </c>
      <c r="B240" s="15">
        <v>12</v>
      </c>
      <c r="C240" s="15"/>
      <c r="D240" s="15"/>
      <c r="E240" s="15" t="s">
        <v>20</v>
      </c>
      <c r="F240" s="62"/>
      <c r="G240" s="62" t="s">
        <v>514</v>
      </c>
      <c r="H240" s="62" t="s">
        <v>515</v>
      </c>
      <c r="I240" s="62" t="s">
        <v>516</v>
      </c>
      <c r="J240" s="62" t="s">
        <v>517</v>
      </c>
      <c r="K240" s="62" t="s">
        <v>518</v>
      </c>
      <c r="L240" s="15"/>
      <c r="M240" s="15"/>
      <c r="N240" s="32" t="s">
        <v>519</v>
      </c>
      <c r="O240" s="32" t="s">
        <v>520</v>
      </c>
      <c r="P240" s="33" t="str">
        <f t="shared" si="3"/>
        <v>日本の歴史の中の亀山／古代の亀山／古代国家のあゆみと亀山／亀山の荘園／和田荘</v>
      </c>
      <c r="Q240" s="17" t="str">
        <f>HYPERLINK("http:/kameyamarekihaku.jp/sisi/tuusiHP_next/tuusi-index.html#kochuusei0502","市史通史編 原始・古代・中世第5章第2節")</f>
        <v>市史通史編 原始・古代・中世第5章第2節</v>
      </c>
      <c r="R240" s="15" t="s">
        <v>83</v>
      </c>
    </row>
    <row r="241" spans="1:18" s="6" customFormat="1" ht="49.5" customHeight="1" x14ac:dyDescent="0.15">
      <c r="A241" s="7"/>
      <c r="B241" s="7"/>
      <c r="C241" s="7"/>
      <c r="D241" s="7"/>
      <c r="E241" s="7"/>
      <c r="F241" s="60"/>
      <c r="G241" s="60"/>
      <c r="H241" s="60"/>
      <c r="I241" s="60"/>
      <c r="J241" s="60"/>
      <c r="K241" s="60"/>
      <c r="L241" s="7"/>
      <c r="M241" s="7"/>
      <c r="N241" s="29" t="s">
        <v>521</v>
      </c>
      <c r="O241" s="29" t="s">
        <v>522</v>
      </c>
      <c r="P241" s="30" t="str">
        <f t="shared" si="3"/>
        <v>日本の歴史の中の亀山／中世の亀山／武士の台頭と亀山／平氏と源氏／平氏の台頭と亀山</v>
      </c>
      <c r="Q241" s="10"/>
      <c r="R241" s="7"/>
    </row>
    <row r="242" spans="1:18" s="6" customFormat="1" ht="30.75" customHeight="1" x14ac:dyDescent="0.15">
      <c r="A242" s="15" t="s">
        <v>386</v>
      </c>
      <c r="B242" s="15">
        <v>12</v>
      </c>
      <c r="C242" s="15" t="s">
        <v>523</v>
      </c>
      <c r="D242" s="15">
        <v>1153</v>
      </c>
      <c r="E242" s="15" t="s">
        <v>34</v>
      </c>
      <c r="F242" s="62"/>
      <c r="G242" s="62" t="s">
        <v>524</v>
      </c>
      <c r="H242" s="62" t="s">
        <v>199</v>
      </c>
      <c r="I242" s="62" t="s">
        <v>405</v>
      </c>
      <c r="J242" s="71" t="str">
        <f>HYPERLINK("http://kameyamarekihaku.jp/sisi/tuusiHP_next/kochuusei/image/05/gi.htm?pf=1183sh100.JPG&amp;?pn=%20%E4%B8%89%E5%AD%90%E5%B1%B1%EF%BC%88%E9%96%A2%E7%94%BA%E5%9D%82%E4%B8%8B%EF%BC%89","三子山")</f>
        <v>三子山</v>
      </c>
      <c r="K242" s="62" t="s">
        <v>525</v>
      </c>
      <c r="L242" s="15"/>
      <c r="M242" s="15"/>
      <c r="N242" s="32" t="s">
        <v>526</v>
      </c>
      <c r="O242" s="32" t="s">
        <v>527</v>
      </c>
      <c r="P242" s="33" t="str">
        <f t="shared" si="3"/>
        <v>亀山のむかしばなし／ふしぎなおはなし／名刀抜丸</v>
      </c>
      <c r="Q242" s="17" t="str">
        <f>HYPERLINK("http:/kameyamarekihaku.jp/sisi/tuusiHP_next/tuusi-index.html#kochuusei0502","市史通史編 原始・古代・中世第5章第2節")</f>
        <v>市史通史編 原始・古代・中世第5章第2節</v>
      </c>
      <c r="R242" s="298" t="s">
        <v>528</v>
      </c>
    </row>
    <row r="243" spans="1:18" s="6" customFormat="1" ht="50.25" customHeight="1" x14ac:dyDescent="0.15">
      <c r="A243" s="26"/>
      <c r="B243" s="26"/>
      <c r="C243" s="26"/>
      <c r="D243" s="26"/>
      <c r="E243" s="26"/>
      <c r="F243" s="59"/>
      <c r="G243" s="59"/>
      <c r="H243" s="59"/>
      <c r="I243" s="59"/>
      <c r="J243" s="76"/>
      <c r="K243" s="59"/>
      <c r="L243" s="26"/>
      <c r="M243" s="26"/>
      <c r="N243" s="19" t="s">
        <v>529</v>
      </c>
      <c r="O243" s="19" t="s">
        <v>522</v>
      </c>
      <c r="P243" s="20" t="str">
        <f t="shared" si="3"/>
        <v>日本の歴史の中の亀山／中世の亀山／武士の台頭と亀山／平氏と源氏／平氏の台頭と亀山</v>
      </c>
      <c r="Q243" s="21"/>
      <c r="R243" s="316"/>
    </row>
    <row r="244" spans="1:18" s="6" customFormat="1" ht="50.25" customHeight="1" x14ac:dyDescent="0.15">
      <c r="A244" s="7"/>
      <c r="B244" s="7"/>
      <c r="C244" s="7"/>
      <c r="D244" s="7"/>
      <c r="E244" s="7"/>
      <c r="F244" s="60"/>
      <c r="G244" s="60"/>
      <c r="H244" s="60"/>
      <c r="I244" s="60"/>
      <c r="J244" s="102"/>
      <c r="K244" s="60"/>
      <c r="L244" s="7"/>
      <c r="M244" s="7"/>
      <c r="N244" s="29" t="s">
        <v>530</v>
      </c>
      <c r="O244" s="29" t="s">
        <v>531</v>
      </c>
      <c r="P244" s="30" t="str">
        <f t="shared" si="3"/>
        <v>亀山のいいとこさがし／景色のよいところや歴史を知る手掛かりとなるもの／山／いわれのある山／三子山</v>
      </c>
      <c r="Q244" s="10"/>
      <c r="R244" s="9"/>
    </row>
    <row r="245" spans="1:18" s="6" customFormat="1" ht="49.5" customHeight="1" x14ac:dyDescent="0.15">
      <c r="A245" s="11" t="s">
        <v>386</v>
      </c>
      <c r="B245" s="11">
        <v>12</v>
      </c>
      <c r="C245" s="11" t="s">
        <v>532</v>
      </c>
      <c r="D245" s="11">
        <v>1156</v>
      </c>
      <c r="E245" s="11" t="s">
        <v>20</v>
      </c>
      <c r="F245" s="61" t="s">
        <v>533</v>
      </c>
      <c r="G245" s="61" t="s">
        <v>534</v>
      </c>
      <c r="H245" s="61" t="s">
        <v>199</v>
      </c>
      <c r="I245" s="61" t="s">
        <v>535</v>
      </c>
      <c r="J245" s="61" t="s">
        <v>536</v>
      </c>
      <c r="K245" s="61"/>
      <c r="L245" s="11"/>
      <c r="M245" s="11"/>
      <c r="N245" s="12" t="s">
        <v>537</v>
      </c>
      <c r="O245" s="12" t="s">
        <v>206</v>
      </c>
      <c r="P245" s="13" t="str">
        <f t="shared" si="3"/>
        <v>亀山のいいとこさがし／景色のよいところや歴史を知る手掛かりとなるもの／歴史上の場所／鈴鹿関跡（２）</v>
      </c>
      <c r="Q245" s="63"/>
      <c r="R245" s="11" t="s">
        <v>538</v>
      </c>
    </row>
    <row r="246" spans="1:18" s="6" customFormat="1" ht="33" customHeight="1" x14ac:dyDescent="0.15">
      <c r="A246" s="15" t="s">
        <v>386</v>
      </c>
      <c r="B246" s="15">
        <v>12</v>
      </c>
      <c r="C246" s="15" t="s">
        <v>539</v>
      </c>
      <c r="D246" s="15">
        <v>1159</v>
      </c>
      <c r="E246" s="15" t="s">
        <v>20</v>
      </c>
      <c r="F246" s="62" t="s">
        <v>540</v>
      </c>
      <c r="G246" s="327" t="s">
        <v>541</v>
      </c>
      <c r="H246" s="15" t="s">
        <v>542</v>
      </c>
      <c r="I246" s="298" t="s">
        <v>543</v>
      </c>
      <c r="J246" s="80" t="s">
        <v>544</v>
      </c>
      <c r="K246" s="15" t="s">
        <v>545</v>
      </c>
      <c r="L246" s="15"/>
      <c r="M246" s="16" t="str">
        <f>HYPERLINK("http://kameyamarekihaku.jp/sisi/tuusiHP_next/kochuusei/image/03/gi.htm?pf=1112zu035.JPG&amp;?pn=%20%E3%80%8E%E9%87%91%E7%8E%8B%E9%81%93%E3%80%8F%E3%82%B3%E3%83%BC%E3%82%B9%E6%A8%A1%E5%BC%8F%E5%9B%B3","金王道")</f>
        <v>金王道</v>
      </c>
      <c r="N246" s="103" t="s">
        <v>546</v>
      </c>
      <c r="O246" s="103" t="s">
        <v>547</v>
      </c>
      <c r="P246" s="104" t="str">
        <f t="shared" si="3"/>
        <v>むかしの道と交通／亀山の中世の道</v>
      </c>
      <c r="Q246" s="36"/>
      <c r="R246" s="15" t="s">
        <v>548</v>
      </c>
    </row>
    <row r="247" spans="1:18" s="6" customFormat="1" ht="35.25" customHeight="1" x14ac:dyDescent="0.15">
      <c r="A247" s="26"/>
      <c r="B247" s="26"/>
      <c r="C247" s="26"/>
      <c r="D247" s="26"/>
      <c r="E247" s="26"/>
      <c r="F247" s="59"/>
      <c r="G247" s="328"/>
      <c r="H247" s="26"/>
      <c r="I247" s="316"/>
      <c r="J247" s="41"/>
      <c r="K247" s="26"/>
      <c r="L247" s="26"/>
      <c r="M247" s="27"/>
      <c r="N247" s="105" t="s">
        <v>549</v>
      </c>
      <c r="O247" s="105" t="s">
        <v>550</v>
      </c>
      <c r="P247" s="106" t="str">
        <f t="shared" si="3"/>
        <v>亀山のむかしばなし／亀山にまつわるひとびとの話／渋谷金王丸</v>
      </c>
      <c r="Q247" s="43"/>
      <c r="R247" s="26"/>
    </row>
    <row r="248" spans="1:18" s="6" customFormat="1" ht="35.25" customHeight="1" x14ac:dyDescent="0.15">
      <c r="A248" s="7"/>
      <c r="B248" s="7"/>
      <c r="C248" s="7"/>
      <c r="D248" s="7"/>
      <c r="E248" s="7"/>
      <c r="F248" s="60"/>
      <c r="G248" s="65"/>
      <c r="H248" s="7"/>
      <c r="I248" s="9"/>
      <c r="J248" s="107"/>
      <c r="K248" s="7"/>
      <c r="L248" s="7"/>
      <c r="M248" s="18"/>
      <c r="N248" s="108" t="s">
        <v>551</v>
      </c>
      <c r="O248" s="108" t="s">
        <v>552</v>
      </c>
      <c r="P248" s="109" t="str">
        <f t="shared" si="3"/>
        <v>亀山のむかしばなし／おもしろいおはなし／金王道</v>
      </c>
      <c r="Q248" s="9"/>
      <c r="R248" s="7"/>
    </row>
    <row r="249" spans="1:18" s="6" customFormat="1" ht="30" customHeight="1" x14ac:dyDescent="0.15">
      <c r="A249" s="11" t="s">
        <v>386</v>
      </c>
      <c r="B249" s="11">
        <v>12</v>
      </c>
      <c r="C249" s="11" t="s">
        <v>553</v>
      </c>
      <c r="D249" s="11">
        <v>1167</v>
      </c>
      <c r="E249" s="11" t="s">
        <v>20</v>
      </c>
      <c r="F249" s="61" t="s">
        <v>554</v>
      </c>
      <c r="G249" s="61"/>
      <c r="H249" s="61"/>
      <c r="I249" s="11"/>
      <c r="J249" s="61"/>
      <c r="K249" s="61"/>
      <c r="L249" s="11"/>
      <c r="M249" s="11"/>
      <c r="N249" s="23"/>
      <c r="O249" s="23" t="e">
        <v>#VALUE!</v>
      </c>
      <c r="P249" s="24" t="str">
        <f t="shared" si="3"/>
        <v/>
      </c>
      <c r="Q249" s="25" t="str">
        <f>HYPERLINK("http:/kameyamarekihaku.jp/sisi/tuusiHP_next/tuusi-index.html#kochuusei0503","市史通史編 原始・古代・中世第5章第3節")</f>
        <v>市史通史編 原始・古代・中世第5章第3節</v>
      </c>
      <c r="R249" s="11" t="s">
        <v>83</v>
      </c>
    </row>
    <row r="250" spans="1:18" s="6" customFormat="1" ht="27.75" customHeight="1" x14ac:dyDescent="0.15">
      <c r="A250" s="15" t="s">
        <v>386</v>
      </c>
      <c r="B250" s="15">
        <v>12</v>
      </c>
      <c r="C250" s="15" t="s">
        <v>555</v>
      </c>
      <c r="D250" s="15">
        <v>1170</v>
      </c>
      <c r="E250" s="15" t="s">
        <v>20</v>
      </c>
      <c r="F250" s="62"/>
      <c r="G250" s="62" t="s">
        <v>556</v>
      </c>
      <c r="H250" s="62" t="s">
        <v>28</v>
      </c>
      <c r="I250" s="62" t="s">
        <v>557</v>
      </c>
      <c r="J250" s="62" t="s">
        <v>558</v>
      </c>
      <c r="K250" s="62" t="s">
        <v>559</v>
      </c>
      <c r="L250" s="15" t="s">
        <v>560</v>
      </c>
      <c r="M250" s="15" t="s">
        <v>561</v>
      </c>
      <c r="N250" s="32" t="s">
        <v>562</v>
      </c>
      <c r="O250" s="32" t="s">
        <v>563</v>
      </c>
      <c r="P250" s="33" t="str">
        <f t="shared" si="3"/>
        <v>亀山のむかしばなし／亀山にまつわるひとびとの話／平資盛と関氏</v>
      </c>
      <c r="Q250" s="17" t="str">
        <f>HYPERLINK("http:/kameyamarekihaku.jp/sisi/tuusiHP_next/tuusi-index.html#kochuusei0503","市史通史編 原始・古代・中世第5章第3節")</f>
        <v>市史通史編 原始・古代・中世第5章第3節</v>
      </c>
      <c r="R250" s="15" t="s">
        <v>191</v>
      </c>
    </row>
    <row r="251" spans="1:18" s="6" customFormat="1" ht="51.75" customHeight="1" x14ac:dyDescent="0.15">
      <c r="A251" s="7"/>
      <c r="B251" s="7"/>
      <c r="C251" s="7"/>
      <c r="D251" s="7"/>
      <c r="E251" s="7"/>
      <c r="F251" s="60"/>
      <c r="G251" s="60"/>
      <c r="H251" s="60"/>
      <c r="I251" s="60"/>
      <c r="J251" s="60"/>
      <c r="K251" s="60"/>
      <c r="L251" s="7"/>
      <c r="M251" s="7"/>
      <c r="N251" s="29" t="s">
        <v>564</v>
      </c>
      <c r="O251" s="29" t="s">
        <v>565</v>
      </c>
      <c r="P251" s="30" t="str">
        <f t="shared" si="3"/>
        <v>日本の歴史の中の亀山／中世の亀山／武士の台頭と亀山／平氏と源氏／平資盛と関氏のはじまり</v>
      </c>
      <c r="Q251" s="10"/>
      <c r="R251" s="7"/>
    </row>
    <row r="252" spans="1:18" s="6" customFormat="1" ht="26.25" customHeight="1" x14ac:dyDescent="0.15">
      <c r="A252" s="11" t="s">
        <v>386</v>
      </c>
      <c r="B252" s="11">
        <v>12</v>
      </c>
      <c r="C252" s="11"/>
      <c r="D252" s="11"/>
      <c r="E252" s="11" t="s">
        <v>34</v>
      </c>
      <c r="F252" s="61" t="s">
        <v>566</v>
      </c>
      <c r="G252" s="61"/>
      <c r="H252" s="61"/>
      <c r="I252" s="61"/>
      <c r="J252" s="61"/>
      <c r="K252" s="61"/>
      <c r="L252" s="110" t="str">
        <f>HYPERLINK("http://kameyamarekihaku.jp/yane_no_nai/unit_leaf/A-5.pdf","歴博貸出ユニットA－５")</f>
        <v>歴博貸出ユニットA－５</v>
      </c>
      <c r="M252" s="11"/>
      <c r="N252" s="23"/>
      <c r="O252" s="23" t="e">
        <v>#VALUE!</v>
      </c>
      <c r="P252" s="24" t="str">
        <f t="shared" si="3"/>
        <v/>
      </c>
      <c r="Q252" s="25"/>
      <c r="R252" s="11"/>
    </row>
    <row r="253" spans="1:18" s="6" customFormat="1" ht="33.75" customHeight="1" x14ac:dyDescent="0.15">
      <c r="A253" s="15" t="s">
        <v>386</v>
      </c>
      <c r="B253" s="15">
        <v>12</v>
      </c>
      <c r="C253" s="15"/>
      <c r="D253" s="15"/>
      <c r="E253" s="15" t="s">
        <v>34</v>
      </c>
      <c r="F253" s="62"/>
      <c r="G253" s="15" t="s">
        <v>567</v>
      </c>
      <c r="H253" s="15" t="s">
        <v>199</v>
      </c>
      <c r="I253" s="15" t="s">
        <v>568</v>
      </c>
      <c r="J253" s="15" t="s">
        <v>569</v>
      </c>
      <c r="K253" s="15" t="s">
        <v>570</v>
      </c>
      <c r="L253" s="15"/>
      <c r="M253" s="15" t="s">
        <v>571</v>
      </c>
      <c r="N253" s="34" t="s">
        <v>572</v>
      </c>
      <c r="O253" s="34" t="s">
        <v>573</v>
      </c>
      <c r="P253" s="35" t="str">
        <f t="shared" si="3"/>
        <v>亀山のむかしばなし／おもしろいおはなし／琴の橋</v>
      </c>
      <c r="Q253" s="36"/>
      <c r="R253" s="15" t="s">
        <v>574</v>
      </c>
    </row>
    <row r="254" spans="1:18" s="6" customFormat="1" ht="33.75" customHeight="1" x14ac:dyDescent="0.15">
      <c r="A254" s="26"/>
      <c r="B254" s="26"/>
      <c r="C254" s="26"/>
      <c r="D254" s="26"/>
      <c r="E254" s="26"/>
      <c r="F254" s="59"/>
      <c r="G254" s="26"/>
      <c r="H254" s="26"/>
      <c r="I254" s="26"/>
      <c r="J254" s="26"/>
      <c r="K254" s="26"/>
      <c r="L254" s="26"/>
      <c r="M254" s="26"/>
      <c r="N254" s="84" t="s">
        <v>100</v>
      </c>
      <c r="O254" s="84" t="s">
        <v>101</v>
      </c>
      <c r="P254" s="85" t="str">
        <f t="shared" si="3"/>
        <v>古典に出てくる亀山／歌／そのほかの場所</v>
      </c>
      <c r="Q254" s="9"/>
      <c r="R254" s="26"/>
    </row>
    <row r="255" spans="1:18" s="6" customFormat="1" ht="27" customHeight="1" x14ac:dyDescent="0.15">
      <c r="A255" s="15" t="s">
        <v>386</v>
      </c>
      <c r="B255" s="15">
        <v>12</v>
      </c>
      <c r="C255" s="15" t="s">
        <v>575</v>
      </c>
      <c r="D255" s="15">
        <v>1175</v>
      </c>
      <c r="E255" s="15" t="s">
        <v>20</v>
      </c>
      <c r="F255" s="62"/>
      <c r="G255" s="62" t="s">
        <v>576</v>
      </c>
      <c r="H255" s="62" t="s">
        <v>515</v>
      </c>
      <c r="I255" s="62" t="s">
        <v>516</v>
      </c>
      <c r="J255" s="62" t="s">
        <v>517</v>
      </c>
      <c r="K255" s="62" t="s">
        <v>577</v>
      </c>
      <c r="L255" s="15"/>
      <c r="M255" s="15" t="s">
        <v>578</v>
      </c>
      <c r="N255" s="111"/>
      <c r="O255" s="34" t="e">
        <v>#VALUE!</v>
      </c>
      <c r="P255" s="35" t="str">
        <f t="shared" si="3"/>
        <v/>
      </c>
      <c r="R255" s="298" t="s">
        <v>433</v>
      </c>
    </row>
    <row r="256" spans="1:18" s="67" customFormat="1" ht="18.75" customHeight="1" x14ac:dyDescent="0.15">
      <c r="A256" s="7"/>
      <c r="B256" s="7"/>
      <c r="C256" s="7"/>
      <c r="D256" s="7"/>
      <c r="E256" s="7"/>
      <c r="F256" s="60"/>
      <c r="G256" s="60"/>
      <c r="H256" s="60"/>
      <c r="I256" s="60"/>
      <c r="J256" s="60"/>
      <c r="K256" s="60"/>
      <c r="L256" s="7"/>
      <c r="M256" s="10" t="str">
        <f>HYPERLINK("http:/kameyamarekihaku.jp/sisi/tuusiHP_next/kochuusei/image/10/gi.htm?pf=1295sh177.JPG&amp;?pn=%20%E7%A8%B2%E7%94%9F%E7%A5%9E%E7%A4%BE%EF%BC%88%E9%88%B4%E9%B9%BF%E5%B8%82%E7%A8%B2%E7%94%9F%E7%94%BA%EF%BC%89","稲生神社")</f>
        <v>稲生神社</v>
      </c>
      <c r="N256" s="29"/>
      <c r="O256" s="29" t="e">
        <v>#VALUE!</v>
      </c>
      <c r="P256" s="30" t="str">
        <f t="shared" si="3"/>
        <v/>
      </c>
      <c r="Q256" s="10"/>
      <c r="R256" s="299"/>
    </row>
    <row r="257" spans="1:18" s="6" customFormat="1" ht="51.75" customHeight="1" x14ac:dyDescent="0.15">
      <c r="A257" s="11" t="s">
        <v>386</v>
      </c>
      <c r="B257" s="11">
        <v>12</v>
      </c>
      <c r="C257" s="11" t="s">
        <v>579</v>
      </c>
      <c r="D257" s="11">
        <v>1183</v>
      </c>
      <c r="E257" s="11" t="s">
        <v>20</v>
      </c>
      <c r="F257" s="61"/>
      <c r="G257" s="61" t="s">
        <v>580</v>
      </c>
      <c r="H257" s="61" t="s">
        <v>199</v>
      </c>
      <c r="I257" s="61" t="s">
        <v>405</v>
      </c>
      <c r="J257" s="112" t="s">
        <v>581</v>
      </c>
      <c r="K257" s="61" t="s">
        <v>582</v>
      </c>
      <c r="L257" s="11"/>
      <c r="M257" s="82" t="str">
        <f>HYPERLINK("http://kameyamarekihaku.jp/sisi/tuusiHP_next/kochuusei/image/06/gi.htm?pf=1187sh102.JPG&amp;?pn=%E9%88%B4%E9%B9%BF%E5%B3%A0%EF%BC%88%E3%83%87%E3%82%B8%E3%82%BF%E3%83%AB%E5%85%B1%E6%9C%89%E5%9C%B0%E5%9B%B3%EF%BC%89%E3%80%80","鈴鹿峠")</f>
        <v>鈴鹿峠</v>
      </c>
      <c r="N257" s="23"/>
      <c r="O257" s="23" t="e">
        <v>#VALUE!</v>
      </c>
      <c r="P257" s="24" t="str">
        <f t="shared" si="3"/>
        <v/>
      </c>
      <c r="Q257" s="25" t="str">
        <f>HYPERLINK("http:/kameyamarekihaku.jp/sisi/tuusiHP_next/tuusi-index.html#kochuusei0601","市史通史編 原始・古代・中世第6章第1節")</f>
        <v>市史通史編 原始・古代・中世第6章第1節</v>
      </c>
      <c r="R257" s="11" t="s">
        <v>433</v>
      </c>
    </row>
    <row r="258" spans="1:18" s="6" customFormat="1" ht="33" customHeight="1" x14ac:dyDescent="0.15">
      <c r="A258" s="11" t="s">
        <v>386</v>
      </c>
      <c r="B258" s="11">
        <v>12</v>
      </c>
      <c r="C258" s="11" t="s">
        <v>583</v>
      </c>
      <c r="D258" s="11">
        <v>1184</v>
      </c>
      <c r="E258" s="11" t="s">
        <v>20</v>
      </c>
      <c r="F258" s="61"/>
      <c r="G258" s="61" t="s">
        <v>584</v>
      </c>
      <c r="H258" s="61" t="s">
        <v>199</v>
      </c>
      <c r="I258" s="61" t="s">
        <v>405</v>
      </c>
      <c r="J258" s="112" t="s">
        <v>581</v>
      </c>
      <c r="K258" s="61" t="s">
        <v>585</v>
      </c>
      <c r="L258" s="11"/>
      <c r="M258" s="82" t="str">
        <f>HYPERLINK("http://kameyamarekihaku.jp/sisi/tuusiHP_next/kochuusei/image/06/gi.htm?pf=1187sh102.JPG&amp;?pn=%E9%88%B4%E9%B9%BF%E5%B3%A0%EF%BC%88%E3%83%87%E3%82%B8%E3%82%BF%E3%83%AB%E5%85%B1%E6%9C%89%E5%9C%B0%E5%9B%B3%EF%BC%89%E3%80%80","鈴鹿峠")</f>
        <v>鈴鹿峠</v>
      </c>
      <c r="N258" s="12"/>
      <c r="O258" s="12" t="e">
        <v>#VALUE!</v>
      </c>
      <c r="P258" s="13" t="str">
        <f t="shared" si="3"/>
        <v/>
      </c>
      <c r="Q258" s="63"/>
      <c r="R258" s="11" t="s">
        <v>586</v>
      </c>
    </row>
    <row r="259" spans="1:18" s="6" customFormat="1" x14ac:dyDescent="0.15">
      <c r="A259" s="11" t="s">
        <v>386</v>
      </c>
      <c r="B259" s="11">
        <v>12</v>
      </c>
      <c r="C259" s="11" t="s">
        <v>587</v>
      </c>
      <c r="D259" s="11">
        <v>1185</v>
      </c>
      <c r="E259" s="11" t="s">
        <v>20</v>
      </c>
      <c r="F259" s="61" t="s">
        <v>588</v>
      </c>
      <c r="G259" s="61"/>
      <c r="H259" s="61"/>
      <c r="I259" s="61"/>
      <c r="J259" s="61"/>
      <c r="K259" s="61"/>
      <c r="L259" s="11"/>
      <c r="M259" s="11"/>
      <c r="N259" s="12"/>
      <c r="O259" s="12" t="e">
        <v>#VALUE!</v>
      </c>
      <c r="P259" s="13" t="str">
        <f t="shared" ref="P259:P322" si="4">IFERROR(HYPERLINK(O259,N259),"")</f>
        <v/>
      </c>
      <c r="Q259" s="63"/>
      <c r="R259" s="11"/>
    </row>
    <row r="260" spans="1:18" s="6" customFormat="1" ht="36" customHeight="1" x14ac:dyDescent="0.15">
      <c r="A260" s="11" t="s">
        <v>386</v>
      </c>
      <c r="B260" s="11">
        <v>12</v>
      </c>
      <c r="C260" s="11" t="s">
        <v>589</v>
      </c>
      <c r="D260" s="11">
        <v>1185</v>
      </c>
      <c r="E260" s="11" t="s">
        <v>20</v>
      </c>
      <c r="F260" s="61" t="s">
        <v>590</v>
      </c>
      <c r="G260" s="61"/>
      <c r="H260" s="61"/>
      <c r="I260" s="61"/>
      <c r="J260" s="61"/>
      <c r="K260" s="61"/>
      <c r="L260" s="11"/>
      <c r="M260" s="11"/>
      <c r="N260" s="12" t="s">
        <v>591</v>
      </c>
      <c r="O260" s="12" t="s">
        <v>592</v>
      </c>
      <c r="P260" s="13" t="str">
        <f t="shared" si="4"/>
        <v>日本の歴史の中の亀山／中世の亀山／武士の台頭と亀山／武士政権の成立</v>
      </c>
      <c r="Q260" s="63"/>
      <c r="R260" s="11"/>
    </row>
    <row r="261" spans="1:18" s="6" customFormat="1" ht="33" customHeight="1" x14ac:dyDescent="0.15">
      <c r="A261" s="11" t="s">
        <v>386</v>
      </c>
      <c r="B261" s="11">
        <v>12</v>
      </c>
      <c r="C261" s="11" t="s">
        <v>593</v>
      </c>
      <c r="D261" s="11">
        <v>1185</v>
      </c>
      <c r="E261" s="11" t="s">
        <v>20</v>
      </c>
      <c r="F261" s="61"/>
      <c r="G261" s="61" t="s">
        <v>594</v>
      </c>
      <c r="H261" s="61" t="s">
        <v>199</v>
      </c>
      <c r="I261" s="61" t="s">
        <v>405</v>
      </c>
      <c r="J261" s="112" t="s">
        <v>581</v>
      </c>
      <c r="K261" s="61" t="s">
        <v>595</v>
      </c>
      <c r="L261" s="11"/>
      <c r="M261" s="82" t="str">
        <f>HYPERLINK("http://kameyamarekihaku.jp/sisi/tuusiHP_next/kochuusei/image/06/gi.htm?pf=1187sh102.JPG&amp;?pn=%E9%88%B4%E9%B9%BF%E5%B3%A0%EF%BC%88%E3%83%87%E3%82%B8%E3%82%BF%E3%83%AB%E5%85%B1%E6%9C%89%E5%9C%B0%E5%9B%B3%EF%BC%89%E3%80%80","鈴鹿峠")</f>
        <v>鈴鹿峠</v>
      </c>
      <c r="N261" s="12" t="s">
        <v>596</v>
      </c>
      <c r="O261" s="12" t="s">
        <v>592</v>
      </c>
      <c r="P261" s="13" t="str">
        <f t="shared" si="4"/>
        <v>日本の歴史の中の亀山／中世の亀山／武士の台頭と亀山／武士政権の成立</v>
      </c>
      <c r="Q261" s="63"/>
      <c r="R261" s="11" t="s">
        <v>597</v>
      </c>
    </row>
    <row r="262" spans="1:18" s="6" customFormat="1" ht="31.5" customHeight="1" x14ac:dyDescent="0.15">
      <c r="A262" s="15" t="s">
        <v>598</v>
      </c>
      <c r="B262" s="15">
        <v>12</v>
      </c>
      <c r="C262" s="15" t="s">
        <v>599</v>
      </c>
      <c r="D262" s="15">
        <v>1187</v>
      </c>
      <c r="E262" s="15" t="s">
        <v>20</v>
      </c>
      <c r="F262" s="62"/>
      <c r="G262" s="333" t="s">
        <v>600</v>
      </c>
      <c r="H262" s="15" t="s">
        <v>464</v>
      </c>
      <c r="I262" s="15" t="s">
        <v>601</v>
      </c>
      <c r="J262" s="16" t="str">
        <f>HYPERLINK("http://kameyamarekihaku.jp/sisi/koukoHP/archives/koujyakai1/01/06/gi.html?pf=KG106-672.JPG&amp;pn=%E7%A9%BA%E3%81%8B%E3%82%89%E8%A6%8B%E3%81%9F%E7%B3%80%E5%B1%8B%E5%9E%A3%E5%86%85%E9%81%BA%E8%B7%A1","糀屋垣内遺跡")</f>
        <v>糀屋垣内遺跡</v>
      </c>
      <c r="K262" s="62"/>
      <c r="L262" s="298" t="s">
        <v>602</v>
      </c>
      <c r="M262" s="15"/>
      <c r="N262" s="342" t="s">
        <v>603</v>
      </c>
      <c r="O262" s="342" t="s">
        <v>604</v>
      </c>
      <c r="P262" s="340" t="str">
        <f t="shared" si="4"/>
        <v>日本の歴史の中の亀山／古代の亀山／古代国家のあゆみと亀山／亀山の荘園</v>
      </c>
      <c r="Q262" s="36"/>
      <c r="R262" s="298" t="s">
        <v>605</v>
      </c>
    </row>
    <row r="263" spans="1:18" s="6" customFormat="1" ht="31.5" customHeight="1" x14ac:dyDescent="0.15">
      <c r="A263" s="7"/>
      <c r="B263" s="7"/>
      <c r="C263" s="7"/>
      <c r="D263" s="7"/>
      <c r="E263" s="7"/>
      <c r="F263" s="60"/>
      <c r="G263" s="335"/>
      <c r="H263" s="7"/>
      <c r="I263" s="7"/>
      <c r="J263" s="7" t="s">
        <v>606</v>
      </c>
      <c r="K263" s="60"/>
      <c r="L263" s="299"/>
      <c r="M263" s="7"/>
      <c r="N263" s="343"/>
      <c r="O263" s="343" t="e">
        <v>#VALUE!</v>
      </c>
      <c r="P263" s="341" t="str">
        <f t="shared" si="4"/>
        <v/>
      </c>
      <c r="Q263" s="9"/>
      <c r="R263" s="299"/>
    </row>
    <row r="264" spans="1:18" s="6" customFormat="1" ht="49.5" customHeight="1" x14ac:dyDescent="0.15">
      <c r="A264" s="11" t="s">
        <v>598</v>
      </c>
      <c r="B264" s="11">
        <v>12</v>
      </c>
      <c r="C264" s="11"/>
      <c r="D264" s="11"/>
      <c r="E264" s="11" t="s">
        <v>34</v>
      </c>
      <c r="F264" s="61"/>
      <c r="G264" s="61" t="s">
        <v>607</v>
      </c>
      <c r="H264" s="61" t="s">
        <v>458</v>
      </c>
      <c r="I264" s="61" t="s">
        <v>608</v>
      </c>
      <c r="J264" s="61" t="s">
        <v>609</v>
      </c>
      <c r="K264" s="61"/>
      <c r="L264" s="11"/>
      <c r="M264" s="22" t="str">
        <f>HYPERLINK("http://kameyamarekihaku.jp/sisi/tuusiHP_next/kochuusei/image/06/gi.htm?pf=1201sh108.JPG&amp;?pn=%E7%9F%B3%E9%80%A0%E4%B8%89%E9%87%8D%E5%B1%A4%E5%A1%94","石造三重層塔")</f>
        <v>石造三重層塔</v>
      </c>
      <c r="N264" s="12" t="s">
        <v>610</v>
      </c>
      <c r="O264" s="12" t="s">
        <v>611</v>
      </c>
      <c r="P264" s="13" t="str">
        <f t="shared" si="4"/>
        <v>亀山のいいとこさがし／景色のよいところや歴史を知る手掛かりとなるもの／町の風景／宗徳寺の三重石塔</v>
      </c>
      <c r="Q264" s="63"/>
      <c r="R264" s="11" t="s">
        <v>612</v>
      </c>
    </row>
    <row r="265" spans="1:18" s="6" customFormat="1" ht="32.25" customHeight="1" x14ac:dyDescent="0.15">
      <c r="A265" s="11" t="s">
        <v>613</v>
      </c>
      <c r="B265" s="11">
        <v>12</v>
      </c>
      <c r="C265" s="11" t="s">
        <v>614</v>
      </c>
      <c r="D265" s="11">
        <v>1191</v>
      </c>
      <c r="E265" s="11" t="s">
        <v>20</v>
      </c>
      <c r="F265" s="61"/>
      <c r="G265" s="61" t="s">
        <v>615</v>
      </c>
      <c r="H265" s="61" t="s">
        <v>199</v>
      </c>
      <c r="I265" s="61" t="s">
        <v>405</v>
      </c>
      <c r="J265" s="82" t="str">
        <f>HYPERLINK("http://kameyamarekihaku.jp/sisi/tuusiHP_next/kochuusei/image/05/gi.htm?pf=1183sh100.JPG&amp;?pn=%20%E4%B8%89%E5%AD%90%E5%B1%B1%EF%BC%88%E9%96%A2%E7%94%BA%E5%9D%82%E4%B8%8B%EF%BC%89","三子山")</f>
        <v>三子山</v>
      </c>
      <c r="K265" s="61"/>
      <c r="L265" s="11"/>
      <c r="M265" s="11"/>
      <c r="N265" s="12" t="s">
        <v>616</v>
      </c>
      <c r="O265" s="12" t="s">
        <v>531</v>
      </c>
      <c r="P265" s="13" t="str">
        <f t="shared" si="4"/>
        <v>亀山のいいとこさがし／景色のよいところや歴史を知る手掛かりとなるもの／三子山</v>
      </c>
      <c r="Q265" s="63"/>
      <c r="R265" s="11" t="s">
        <v>489</v>
      </c>
    </row>
    <row r="266" spans="1:18" s="6" customFormat="1" ht="36" customHeight="1" x14ac:dyDescent="0.15">
      <c r="A266" s="11" t="s">
        <v>613</v>
      </c>
      <c r="B266" s="11">
        <v>12</v>
      </c>
      <c r="C266" s="11" t="s">
        <v>617</v>
      </c>
      <c r="D266" s="11">
        <v>1192</v>
      </c>
      <c r="E266" s="11" t="s">
        <v>20</v>
      </c>
      <c r="F266" s="61" t="s">
        <v>618</v>
      </c>
      <c r="G266" s="61"/>
      <c r="H266" s="61"/>
      <c r="I266" s="61"/>
      <c r="J266" s="61"/>
      <c r="K266" s="61"/>
      <c r="L266" s="11"/>
      <c r="M266" s="11"/>
      <c r="N266" s="12" t="s">
        <v>591</v>
      </c>
      <c r="O266" s="12" t="s">
        <v>592</v>
      </c>
      <c r="P266" s="13" t="str">
        <f t="shared" si="4"/>
        <v>日本の歴史の中の亀山／中世の亀山／武士の台頭と亀山／武士政権の成立</v>
      </c>
      <c r="Q266" s="63"/>
      <c r="R266" s="11"/>
    </row>
    <row r="267" spans="1:18" s="6" customFormat="1" ht="27" x14ac:dyDescent="0.15">
      <c r="A267" s="11" t="s">
        <v>613</v>
      </c>
      <c r="B267" s="11">
        <v>12</v>
      </c>
      <c r="C267" s="11" t="s">
        <v>617</v>
      </c>
      <c r="D267" s="11">
        <v>1192</v>
      </c>
      <c r="E267" s="11" t="s">
        <v>20</v>
      </c>
      <c r="F267" s="61"/>
      <c r="G267" s="61" t="s">
        <v>619</v>
      </c>
      <c r="H267" s="61"/>
      <c r="I267" s="61"/>
      <c r="J267" s="61"/>
      <c r="K267" s="61"/>
      <c r="L267" s="11"/>
      <c r="M267" s="11"/>
      <c r="N267" s="12"/>
      <c r="O267" s="12" t="e">
        <v>#VALUE!</v>
      </c>
      <c r="P267" s="13" t="str">
        <f t="shared" si="4"/>
        <v/>
      </c>
      <c r="Q267" s="63"/>
      <c r="R267" s="11" t="s">
        <v>620</v>
      </c>
    </row>
    <row r="268" spans="1:18" s="6" customFormat="1" ht="44.25" customHeight="1" x14ac:dyDescent="0.15">
      <c r="A268" s="15" t="s">
        <v>613</v>
      </c>
      <c r="B268" s="15">
        <v>12</v>
      </c>
      <c r="C268" s="15"/>
      <c r="D268" s="15"/>
      <c r="E268" s="15" t="s">
        <v>34</v>
      </c>
      <c r="F268" s="62"/>
      <c r="G268" s="62" t="s">
        <v>621</v>
      </c>
      <c r="H268" s="62" t="s">
        <v>199</v>
      </c>
      <c r="I268" s="62" t="s">
        <v>622</v>
      </c>
      <c r="J268" s="71" t="str">
        <f>HYPERLINK("http://kameyamarekihaku.jp/sisi/tuusiHP_next/kochuusei/image/06/gi.htm?pf=1195sh103.JPG&amp;?pn=%E6%AD%A3%E6%B3%95%E5%AF%BA%E5%B1%B1%E8%8D%98%E8%B7%A1%E7%8F%BE%E6%B3%81","正法寺山荘跡")</f>
        <v>正法寺山荘跡</v>
      </c>
      <c r="K268" s="62"/>
      <c r="L268" s="16" t="str">
        <f>HYPERLINK("http://kameyamarekihaku.jp/sisi/koukoHP/archives/syouhoujideibutu/01/01-01/SWS0101.html","正法寺山荘跡出土品")</f>
        <v>正法寺山荘跡出土品</v>
      </c>
      <c r="M268" s="71"/>
      <c r="N268" s="19" t="s">
        <v>395</v>
      </c>
      <c r="O268" s="19" t="s">
        <v>396</v>
      </c>
      <c r="P268" s="20" t="str">
        <f t="shared" si="4"/>
        <v>日本の歴史の中の亀山／中世の亀山／武士の台頭と亀山／仏教の広がり／亀山の古代中世寺院</v>
      </c>
      <c r="Q268" s="21" t="str">
        <f>HYPERLINK("http:/kameyamarekihaku.jp/sisi/KoukoHP/iseki.html","市史考古編遺跡一覧N0.51")</f>
        <v>市史考古編遺跡一覧N0.51</v>
      </c>
      <c r="R268" s="15" t="s">
        <v>623</v>
      </c>
    </row>
    <row r="269" spans="1:18" s="6" customFormat="1" ht="49.5" customHeight="1" x14ac:dyDescent="0.15">
      <c r="A269" s="7"/>
      <c r="B269" s="7"/>
      <c r="C269" s="7"/>
      <c r="D269" s="7"/>
      <c r="E269" s="7"/>
      <c r="F269" s="60"/>
      <c r="G269" s="60"/>
      <c r="H269" s="60"/>
      <c r="I269" s="60"/>
      <c r="J269" s="102"/>
      <c r="K269" s="60"/>
      <c r="L269" s="18"/>
      <c r="M269" s="102"/>
      <c r="N269" s="29" t="s">
        <v>624</v>
      </c>
      <c r="O269" s="29" t="s">
        <v>625</v>
      </c>
      <c r="P269" s="30" t="str">
        <f t="shared" si="4"/>
        <v>亀山のいいとこさがし／景色のよいところや歴史を知る手掛かりとなるもの／歴史上の場所／正法寺山荘跡</v>
      </c>
      <c r="Q269" s="10"/>
      <c r="R269" s="7"/>
    </row>
    <row r="270" spans="1:18" s="6" customFormat="1" ht="27" x14ac:dyDescent="0.15">
      <c r="A270" s="11" t="s">
        <v>613</v>
      </c>
      <c r="B270" s="11">
        <v>12</v>
      </c>
      <c r="C270" s="11" t="s">
        <v>626</v>
      </c>
      <c r="D270" s="11">
        <v>1200</v>
      </c>
      <c r="E270" s="11" t="s">
        <v>20</v>
      </c>
      <c r="F270" s="61"/>
      <c r="G270" s="61" t="s">
        <v>627</v>
      </c>
      <c r="H270" s="61" t="s">
        <v>515</v>
      </c>
      <c r="I270" s="61" t="s">
        <v>516</v>
      </c>
      <c r="J270" s="61" t="s">
        <v>628</v>
      </c>
      <c r="K270" s="61"/>
      <c r="L270" s="11"/>
      <c r="M270" s="11"/>
      <c r="N270" s="23"/>
      <c r="O270" s="23" t="e">
        <v>#VALUE!</v>
      </c>
      <c r="P270" s="24" t="str">
        <f t="shared" si="4"/>
        <v/>
      </c>
      <c r="Q270" s="25" t="str">
        <f>HYPERLINK("http:/kameyamarekihaku.jp/sisi/tuusiHP_next/tuusi-index.html#kochuusei0603","市史通史編 原始・古代・中世第6章第3節")</f>
        <v>市史通史編 原始・古代・中世第6章第3節</v>
      </c>
      <c r="R270" s="11" t="s">
        <v>629</v>
      </c>
    </row>
    <row r="271" spans="1:18" s="6" customFormat="1" ht="33.75" customHeight="1" x14ac:dyDescent="0.15">
      <c r="A271" s="15" t="s">
        <v>613</v>
      </c>
      <c r="B271" s="15">
        <v>13</v>
      </c>
      <c r="C271" s="15" t="s">
        <v>630</v>
      </c>
      <c r="D271" s="15">
        <v>1204</v>
      </c>
      <c r="E271" s="15" t="s">
        <v>20</v>
      </c>
      <c r="F271" s="62"/>
      <c r="G271" s="62" t="s">
        <v>631</v>
      </c>
      <c r="H271" s="62" t="s">
        <v>632</v>
      </c>
      <c r="I271" s="62" t="s">
        <v>633</v>
      </c>
      <c r="J271" s="71" t="str">
        <f>HYPERLINK("http://kameyamarekihaku.jp/sisi/KoukoHP/archives/onojo_01tyousa/01/01-01/gi.html?pf=onojo0101-01-001.JPG&amp;pn=%E5%B0%8F%E9%87%8E%E5%9F%8E%E8%B7%A1%E8%AA%BF%E6%9F%BB%E5%89%8D%E7%8A%B6%E6%B3%81","小野城跡")</f>
        <v>小野城跡</v>
      </c>
      <c r="K271" s="62" t="s">
        <v>634</v>
      </c>
      <c r="L271" s="15" t="s">
        <v>635</v>
      </c>
      <c r="M271" s="15" t="s">
        <v>636</v>
      </c>
      <c r="N271" s="32" t="s">
        <v>194</v>
      </c>
      <c r="O271" s="32" t="s">
        <v>195</v>
      </c>
      <c r="P271" s="33" t="str">
        <f t="shared" si="4"/>
        <v>古典に出てくる亀山／物語／戦いの話</v>
      </c>
      <c r="Q271" s="17" t="str">
        <f>HYPERLINK("http:/kameyamarekihaku.jp/sisi/tuusiHP_next/tuusi-index.html#kochuusei0601","市史通史編 原始・古代・中世第6章第1節第2項")</f>
        <v>市史通史編 原始・古代・中世第6章第1節第2項</v>
      </c>
      <c r="R271" s="298" t="s">
        <v>637</v>
      </c>
    </row>
    <row r="272" spans="1:18" s="6" customFormat="1" ht="40.5" customHeight="1" x14ac:dyDescent="0.15">
      <c r="A272" s="7"/>
      <c r="B272" s="7"/>
      <c r="C272" s="7"/>
      <c r="D272" s="7"/>
      <c r="E272" s="7"/>
      <c r="F272" s="60"/>
      <c r="G272" s="60"/>
      <c r="H272" s="60"/>
      <c r="I272" s="60"/>
      <c r="J272" s="102"/>
      <c r="K272" s="60"/>
      <c r="L272" s="7"/>
      <c r="M272" s="7"/>
      <c r="N272" s="29" t="s">
        <v>638</v>
      </c>
      <c r="O272" s="29" t="s">
        <v>592</v>
      </c>
      <c r="P272" s="30" t="str">
        <f t="shared" si="4"/>
        <v>日本の歴史の中の亀山／中世の亀山／武士の台頭と亀山／武士政権の成立</v>
      </c>
      <c r="Q272" s="10"/>
      <c r="R272" s="299"/>
    </row>
    <row r="273" spans="1:18" s="6" customFormat="1" ht="33" customHeight="1" x14ac:dyDescent="0.15">
      <c r="A273" s="11" t="s">
        <v>613</v>
      </c>
      <c r="B273" s="11">
        <v>13</v>
      </c>
      <c r="C273" s="11" t="s">
        <v>630</v>
      </c>
      <c r="D273" s="11">
        <v>1204</v>
      </c>
      <c r="E273" s="11" t="s">
        <v>20</v>
      </c>
      <c r="F273" s="61"/>
      <c r="G273" s="61" t="s">
        <v>639</v>
      </c>
      <c r="H273" s="61" t="s">
        <v>199</v>
      </c>
      <c r="I273" s="61" t="s">
        <v>640</v>
      </c>
      <c r="J273" s="82" t="str">
        <f>HYPERLINK("http://kameyamarekihaku.jp/sisi/tuusiHP_next/kochuusei/image/05/gi.htm?pf=1186sh101.JPG&amp;?pn=%E9%96%A2%E7%94%BA%E4%B9%85%E6%88%91","関町久我")</f>
        <v>関町久我</v>
      </c>
      <c r="K273" s="61" t="s">
        <v>641</v>
      </c>
      <c r="L273" s="11"/>
      <c r="M273" s="11"/>
      <c r="N273" s="12" t="s">
        <v>642</v>
      </c>
      <c r="O273" s="12" t="s">
        <v>643</v>
      </c>
      <c r="P273" s="13" t="str">
        <f t="shared" si="4"/>
        <v>亀山城と宿場／鎌倉時代～安土桃山時代の亀山城主</v>
      </c>
      <c r="Q273" s="63"/>
      <c r="R273" s="11" t="s">
        <v>644</v>
      </c>
    </row>
    <row r="274" spans="1:18" s="6" customFormat="1" ht="42" customHeight="1" x14ac:dyDescent="0.15">
      <c r="A274" s="11" t="s">
        <v>613</v>
      </c>
      <c r="B274" s="11">
        <v>13</v>
      </c>
      <c r="C274" s="11" t="s">
        <v>645</v>
      </c>
      <c r="D274" s="11">
        <v>1221</v>
      </c>
      <c r="E274" s="11" t="s">
        <v>20</v>
      </c>
      <c r="F274" s="61" t="s">
        <v>646</v>
      </c>
      <c r="G274" s="61" t="s">
        <v>647</v>
      </c>
      <c r="H274" s="61" t="s">
        <v>199</v>
      </c>
      <c r="I274" s="61" t="s">
        <v>535</v>
      </c>
      <c r="J274" s="61" t="s">
        <v>536</v>
      </c>
      <c r="K274" s="61"/>
      <c r="L274" s="11"/>
      <c r="M274" s="11"/>
      <c r="N274" s="23" t="s">
        <v>385</v>
      </c>
      <c r="O274" s="23" t="s">
        <v>206</v>
      </c>
      <c r="P274" s="24" t="str">
        <f t="shared" si="4"/>
        <v>亀山のいいとこさがし／景色のよいところや歴史を知る手掛かりとなるもの／歴史上の場所／鈴鹿関跡（２）</v>
      </c>
      <c r="Q274" s="25" t="str">
        <f>HYPERLINK("http:/kameyamarekihaku.jp/sisi/tuusiHP_next/tuusi-index.html#kochuusei0602","市史通史編 原始・古代・中世第6章第2節")</f>
        <v>市史通史編 原始・古代・中世第6章第2節</v>
      </c>
      <c r="R274" s="11" t="s">
        <v>433</v>
      </c>
    </row>
    <row r="275" spans="1:18" s="6" customFormat="1" ht="32.25" customHeight="1" x14ac:dyDescent="0.15">
      <c r="A275" s="11" t="s">
        <v>613</v>
      </c>
      <c r="B275" s="11">
        <v>13</v>
      </c>
      <c r="C275" s="11" t="s">
        <v>645</v>
      </c>
      <c r="D275" s="11">
        <v>1221</v>
      </c>
      <c r="E275" s="11" t="s">
        <v>20</v>
      </c>
      <c r="F275" s="61"/>
      <c r="G275" s="61" t="s">
        <v>648</v>
      </c>
      <c r="H275" s="11" t="s">
        <v>649</v>
      </c>
      <c r="I275" s="11" t="s">
        <v>650</v>
      </c>
      <c r="J275" s="61"/>
      <c r="K275" s="61" t="s">
        <v>651</v>
      </c>
      <c r="L275" s="11"/>
      <c r="M275" s="11"/>
      <c r="N275" s="12" t="s">
        <v>652</v>
      </c>
      <c r="O275" s="12" t="s">
        <v>653</v>
      </c>
      <c r="P275" s="13" t="str">
        <f t="shared" si="4"/>
        <v>日本の歴史の中の亀山／古代の亀山／古代国家のあゆみと亀山／亀山の荘園／葉若荘</v>
      </c>
      <c r="Q275" s="63"/>
      <c r="R275" s="11" t="s">
        <v>654</v>
      </c>
    </row>
    <row r="276" spans="1:18" s="6" customFormat="1" ht="46.5" customHeight="1" x14ac:dyDescent="0.15">
      <c r="A276" s="11" t="s">
        <v>613</v>
      </c>
      <c r="B276" s="11">
        <v>13</v>
      </c>
      <c r="C276" s="11" t="s">
        <v>655</v>
      </c>
      <c r="D276" s="11">
        <v>1223</v>
      </c>
      <c r="E276" s="11" t="s">
        <v>20</v>
      </c>
      <c r="F276" s="11"/>
      <c r="G276" s="11" t="s">
        <v>656</v>
      </c>
      <c r="H276" s="11" t="s">
        <v>199</v>
      </c>
      <c r="I276" s="11" t="s">
        <v>657</v>
      </c>
      <c r="J276" s="11" t="s">
        <v>487</v>
      </c>
      <c r="K276" s="11"/>
      <c r="L276" s="11"/>
      <c r="M276" s="11"/>
      <c r="N276" s="12" t="s">
        <v>658</v>
      </c>
      <c r="O276" s="12" t="s">
        <v>659</v>
      </c>
      <c r="P276" s="13" t="str">
        <f t="shared" si="4"/>
        <v>古典に出てくる亀山／旅／鎌倉時代の旅人</v>
      </c>
      <c r="Q276" s="14"/>
      <c r="R276" s="11" t="s">
        <v>660</v>
      </c>
    </row>
    <row r="277" spans="1:18" s="6" customFormat="1" ht="27" x14ac:dyDescent="0.15">
      <c r="A277" s="11" t="s">
        <v>613</v>
      </c>
      <c r="B277" s="11">
        <v>13</v>
      </c>
      <c r="C277" s="11" t="s">
        <v>661</v>
      </c>
      <c r="D277" s="11">
        <v>1232</v>
      </c>
      <c r="E277" s="11" t="s">
        <v>20</v>
      </c>
      <c r="F277" s="61" t="s">
        <v>662</v>
      </c>
      <c r="G277" s="61"/>
      <c r="H277" s="61"/>
      <c r="I277" s="61"/>
      <c r="J277" s="61"/>
      <c r="K277" s="61"/>
      <c r="L277" s="11"/>
      <c r="M277" s="11"/>
      <c r="N277" s="12"/>
      <c r="O277" s="12" t="e">
        <v>#VALUE!</v>
      </c>
      <c r="P277" s="13" t="str">
        <f t="shared" si="4"/>
        <v/>
      </c>
      <c r="Q277" s="63"/>
      <c r="R277" s="11"/>
    </row>
    <row r="278" spans="1:18" s="6" customFormat="1" ht="50.25" customHeight="1" x14ac:dyDescent="0.15">
      <c r="A278" s="11" t="s">
        <v>613</v>
      </c>
      <c r="B278" s="11">
        <v>13</v>
      </c>
      <c r="C278" s="11" t="s">
        <v>663</v>
      </c>
      <c r="D278" s="11">
        <v>1234</v>
      </c>
      <c r="E278" s="11" t="s">
        <v>20</v>
      </c>
      <c r="F278" s="61"/>
      <c r="G278" s="61" t="s">
        <v>664</v>
      </c>
      <c r="H278" s="61" t="s">
        <v>199</v>
      </c>
      <c r="I278" s="61" t="s">
        <v>535</v>
      </c>
      <c r="J278" s="61" t="s">
        <v>536</v>
      </c>
      <c r="K278" s="61"/>
      <c r="L278" s="11"/>
      <c r="M278" s="11"/>
      <c r="N278" s="12" t="s">
        <v>537</v>
      </c>
      <c r="O278" s="12" t="s">
        <v>206</v>
      </c>
      <c r="P278" s="13" t="str">
        <f t="shared" si="4"/>
        <v>亀山のいいとこさがし／景色のよいところや歴史を知る手掛かりとなるもの／歴史上の場所／鈴鹿関跡（２）</v>
      </c>
      <c r="Q278" s="63"/>
      <c r="R278" s="11" t="s">
        <v>654</v>
      </c>
    </row>
    <row r="279" spans="1:18" s="6" customFormat="1" ht="32.25" customHeight="1" x14ac:dyDescent="0.15">
      <c r="A279" s="11" t="s">
        <v>613</v>
      </c>
      <c r="B279" s="11">
        <v>14</v>
      </c>
      <c r="C279" s="11" t="s">
        <v>665</v>
      </c>
      <c r="D279" s="11">
        <v>1239</v>
      </c>
      <c r="E279" s="11" t="s">
        <v>20</v>
      </c>
      <c r="F279" s="61"/>
      <c r="G279" s="61" t="s">
        <v>666</v>
      </c>
      <c r="H279" s="11" t="s">
        <v>199</v>
      </c>
      <c r="I279" s="11" t="s">
        <v>657</v>
      </c>
      <c r="J279" s="11" t="s">
        <v>487</v>
      </c>
      <c r="K279" s="61"/>
      <c r="L279" s="11"/>
      <c r="M279" s="11"/>
      <c r="N279" s="12"/>
      <c r="O279" s="12" t="e">
        <v>#VALUE!</v>
      </c>
      <c r="P279" s="13" t="str">
        <f t="shared" si="4"/>
        <v/>
      </c>
      <c r="Q279" s="14"/>
      <c r="R279" s="11" t="s">
        <v>489</v>
      </c>
    </row>
    <row r="280" spans="1:18" s="6" customFormat="1" ht="47.25" customHeight="1" x14ac:dyDescent="0.15">
      <c r="A280" s="11" t="s">
        <v>613</v>
      </c>
      <c r="B280" s="11">
        <v>14</v>
      </c>
      <c r="C280" s="11" t="s">
        <v>667</v>
      </c>
      <c r="D280" s="11">
        <v>1243</v>
      </c>
      <c r="E280" s="11" t="s">
        <v>34</v>
      </c>
      <c r="F280" s="61"/>
      <c r="G280" s="61" t="s">
        <v>668</v>
      </c>
      <c r="H280" s="61" t="s">
        <v>669</v>
      </c>
      <c r="I280" s="61" t="s">
        <v>670</v>
      </c>
      <c r="J280" s="61" t="s">
        <v>671</v>
      </c>
      <c r="K280" s="61"/>
      <c r="L280" s="11"/>
      <c r="M280" s="11"/>
      <c r="N280" s="12" t="s">
        <v>672</v>
      </c>
      <c r="O280" s="12" t="s">
        <v>673</v>
      </c>
      <c r="P280" s="13" t="str">
        <f t="shared" si="4"/>
        <v>亀山のむかしばなし／こわいはなし／天狗にあった人の話</v>
      </c>
      <c r="Q280" s="63"/>
      <c r="R280" s="11" t="s">
        <v>674</v>
      </c>
    </row>
    <row r="281" spans="1:18" s="6" customFormat="1" ht="40.5" x14ac:dyDescent="0.15">
      <c r="A281" s="11" t="s">
        <v>613</v>
      </c>
      <c r="B281" s="11">
        <v>14</v>
      </c>
      <c r="C281" s="11" t="s">
        <v>675</v>
      </c>
      <c r="D281" s="11">
        <v>1252</v>
      </c>
      <c r="E281" s="11" t="s">
        <v>34</v>
      </c>
      <c r="F281" s="61"/>
      <c r="G281" s="61" t="s">
        <v>676</v>
      </c>
      <c r="H281" s="61" t="s">
        <v>393</v>
      </c>
      <c r="I281" s="61" t="s">
        <v>677</v>
      </c>
      <c r="J281" s="82" t="str">
        <f>HYPERLINK("http://kameyamarekihaku.jp/sisi/koukoHP/archives/kamejyougennjyo/01/01-01/gi.html?pf=KJGNJY0101-01-032.JPG&amp;pn=%E9%81%8D%E7%85%A7%E5%AF%BA%E6%9C%AC%E5%A0%82%EF%BC%88%E8%A5%BF%E7%94%BA%EF%BC%89","遍照寺")</f>
        <v>遍照寺</v>
      </c>
      <c r="K281" s="61" t="s">
        <v>678</v>
      </c>
      <c r="L281" s="11"/>
      <c r="M281" s="11" t="s">
        <v>679</v>
      </c>
      <c r="N281" s="12"/>
      <c r="O281" s="12" t="e">
        <v>#VALUE!</v>
      </c>
      <c r="P281" s="13" t="str">
        <f t="shared" si="4"/>
        <v/>
      </c>
      <c r="Q281" s="63"/>
      <c r="R281" s="11" t="s">
        <v>680</v>
      </c>
    </row>
    <row r="282" spans="1:18" s="6" customFormat="1" ht="44.25" customHeight="1" x14ac:dyDescent="0.15">
      <c r="A282" s="15" t="s">
        <v>681</v>
      </c>
      <c r="B282" s="15">
        <v>14</v>
      </c>
      <c r="C282" s="15" t="s">
        <v>682</v>
      </c>
      <c r="D282" s="15">
        <v>1256</v>
      </c>
      <c r="E282" s="15" t="s">
        <v>499</v>
      </c>
      <c r="F282" s="62"/>
      <c r="G282" s="62" t="s">
        <v>683</v>
      </c>
      <c r="H282" s="62" t="s">
        <v>684</v>
      </c>
      <c r="I282" s="62" t="s">
        <v>516</v>
      </c>
      <c r="J282" s="71" t="str">
        <f>HYPERLINK("http://kameyamarekihaku.jp/sisi/tuusiHP_next/kochuusei/image/05/gi.htm?pf=1173sh093.JPG&amp;?pn=%20%E7%9F%B3%E4%B8%8A%E5%AF%BA%EF%BC%88%E5%92%8C%E7%94%B0%E7%94%BA%EF%BC%89","石上寺")</f>
        <v>石上寺</v>
      </c>
      <c r="K282" s="62" t="s">
        <v>685</v>
      </c>
      <c r="L282" s="16" t="str">
        <f>HYPERLINK("http://kameyamarekihaku.jp/rekisi-hiroba/tyu-sei_monjo/web24_cyuseimonjyo/10/10.html","覚仁法親王令旨（寄託石上寺文書）")</f>
        <v>覚仁法親王令旨（寄託石上寺文書）</v>
      </c>
      <c r="M282" s="15"/>
      <c r="N282" s="32" t="s">
        <v>686</v>
      </c>
      <c r="O282" s="32" t="s">
        <v>687</v>
      </c>
      <c r="P282" s="33" t="str">
        <f t="shared" si="4"/>
        <v>日本の歴史の中の亀山／中世の亀山／武士の台頭と亀山／仏教の広がり／石上寺文書</v>
      </c>
      <c r="Q282" s="17" t="str">
        <f>HYPERLINK("http://kameyamarekihaku.jp/rekisi-hiroba/tyu-sei_monjo/web24_cyuseimonjyo/web24_cyuseimonjyo_indx.html","歴史広場　亀山市内にひろがる中世文書")</f>
        <v>歴史広場　亀山市内にひろがる中世文書</v>
      </c>
      <c r="R282" s="15" t="s">
        <v>688</v>
      </c>
    </row>
    <row r="283" spans="1:18" s="6" customFormat="1" ht="31.5" customHeight="1" x14ac:dyDescent="0.15">
      <c r="A283" s="7"/>
      <c r="B283" s="7"/>
      <c r="C283" s="7"/>
      <c r="D283" s="7"/>
      <c r="E283" s="7"/>
      <c r="F283" s="60"/>
      <c r="G283" s="60"/>
      <c r="H283" s="60"/>
      <c r="I283" s="60"/>
      <c r="J283" s="102"/>
      <c r="K283" s="60"/>
      <c r="L283" s="18"/>
      <c r="M283" s="7"/>
      <c r="N283" s="29" t="s">
        <v>689</v>
      </c>
      <c r="O283" s="29" t="s">
        <v>687</v>
      </c>
      <c r="P283" s="30" t="str">
        <f t="shared" si="4"/>
        <v>亀山のいいとこさがし／手紙や本／手紙や記録など／石上寺文書</v>
      </c>
      <c r="Q283" s="10"/>
      <c r="R283" s="7"/>
    </row>
    <row r="284" spans="1:18" s="6" customFormat="1" ht="44.25" customHeight="1" x14ac:dyDescent="0.15">
      <c r="A284" s="15" t="s">
        <v>681</v>
      </c>
      <c r="B284" s="15">
        <v>14</v>
      </c>
      <c r="C284" s="15" t="s">
        <v>690</v>
      </c>
      <c r="D284" s="15">
        <v>1259</v>
      </c>
      <c r="E284" s="15" t="s">
        <v>691</v>
      </c>
      <c r="F284" s="62"/>
      <c r="G284" s="62" t="s">
        <v>692</v>
      </c>
      <c r="H284" s="62" t="s">
        <v>693</v>
      </c>
      <c r="I284" s="62" t="s">
        <v>516</v>
      </c>
      <c r="J284" s="71" t="str">
        <f>HYPERLINK("http://kameyamarekihaku.jp/sisi/tuusiHP_next/kochuusei/image/05/gi.htm?pf=1173sh093.JPG&amp;?pn=%20%E7%9F%B3%E4%B8%8A%E5%AF%BA%EF%BC%88%E5%92%8C%E7%94%B0%E7%94%BA%EF%BC%89","石上寺")</f>
        <v>石上寺</v>
      </c>
      <c r="K284" s="62"/>
      <c r="L284" s="16" t="str">
        <f>HYPERLINK("http://kameyamarekihaku.jp/rekisi-hiroba/tyu-sei_monjo/web24_cyuseimonjyo/11/11.html","某寄進状（寄託石上寺文書：レプリカ）")</f>
        <v>某寄進状（寄託石上寺文書：レプリカ）</v>
      </c>
      <c r="M284" s="15"/>
      <c r="N284" s="32" t="s">
        <v>694</v>
      </c>
      <c r="O284" s="32" t="s">
        <v>687</v>
      </c>
      <c r="P284" s="33" t="str">
        <f t="shared" si="4"/>
        <v>日本の歴史の中の亀山／中世の亀山／武士の台頭と亀山／仏教の広がり／石上寺文書</v>
      </c>
      <c r="Q284" s="17" t="str">
        <f>HYPERLINK("http://kameyamarekihaku.jp/rekisi-hiroba/tyu-sei_monjo/web24_cyuseimonjyo/web24_cyuseimonjyo_indx.html","歴史広場　亀山市内にひろがる中世文書")</f>
        <v>歴史広場　亀山市内にひろがる中世文書</v>
      </c>
      <c r="R284" s="15" t="s">
        <v>695</v>
      </c>
    </row>
    <row r="285" spans="1:18" s="6" customFormat="1" ht="35.25" customHeight="1" x14ac:dyDescent="0.15">
      <c r="A285" s="7"/>
      <c r="B285" s="7"/>
      <c r="C285" s="7"/>
      <c r="D285" s="7"/>
      <c r="E285" s="7"/>
      <c r="F285" s="60"/>
      <c r="G285" s="60"/>
      <c r="H285" s="60"/>
      <c r="I285" s="60"/>
      <c r="J285" s="102"/>
      <c r="K285" s="60"/>
      <c r="L285" s="18"/>
      <c r="M285" s="7"/>
      <c r="N285" s="29" t="s">
        <v>689</v>
      </c>
      <c r="O285" s="29" t="s">
        <v>687</v>
      </c>
      <c r="P285" s="30" t="str">
        <f t="shared" si="4"/>
        <v>亀山のいいとこさがし／手紙や本／手紙や記録など／石上寺文書</v>
      </c>
      <c r="Q285" s="10"/>
      <c r="R285" s="7"/>
    </row>
    <row r="286" spans="1:18" s="6" customFormat="1" ht="19.5" customHeight="1" x14ac:dyDescent="0.15">
      <c r="A286" s="15" t="s">
        <v>681</v>
      </c>
      <c r="B286" s="15">
        <v>14</v>
      </c>
      <c r="C286" s="15" t="s">
        <v>696</v>
      </c>
      <c r="D286" s="15">
        <v>1265</v>
      </c>
      <c r="E286" s="15" t="s">
        <v>20</v>
      </c>
      <c r="F286" s="62"/>
      <c r="G286" s="62" t="s">
        <v>697</v>
      </c>
      <c r="H286" s="62" t="s">
        <v>464</v>
      </c>
      <c r="I286" s="62" t="s">
        <v>698</v>
      </c>
      <c r="J286" s="71" t="str">
        <f>HYPERLINK("http://kameyamarekihaku.jp/sisi/koukoHP/archives/kamejyougennjyo/01/01-01/gi.html?pf=KJGNJY0101-01-065.JPG&amp;pn=%E4%BA%80%E5%B1%B1%E5%8F%A4%E5%9F%8E%EF%BC%88%E6%84%9B%E5%AE%95%E5%B1%B1%EF%BC%89","亀山古城（愛宕山）")</f>
        <v>亀山古城（愛宕山）</v>
      </c>
      <c r="K286" s="62" t="s">
        <v>641</v>
      </c>
      <c r="L286" s="15"/>
      <c r="M286" s="16" t="str">
        <f>HYPERLINK("http://kameyamarekihaku.jp/sisi/tuusiHP_next/kochuusei/image/08/gi.htm?pf=1238sh136.JPG&amp;?pn=%20%E4%BA%80%E5%B1%B1%E5%8F%A4%E5%9F%8E%E8%B7%A1%EF%BC%88%E8%8B%A5%E5%B1%B1%E7%94%BA%EF%BC%89","亀山古城案内板")</f>
        <v>亀山古城案内板</v>
      </c>
      <c r="N286" s="34" t="s">
        <v>699</v>
      </c>
      <c r="O286" s="34" t="s">
        <v>700</v>
      </c>
      <c r="P286" s="35" t="str">
        <f t="shared" si="4"/>
        <v>亀山城と宿場／亀山城のはじまり</v>
      </c>
      <c r="Q286" s="83"/>
      <c r="R286" s="298" t="s">
        <v>701</v>
      </c>
    </row>
    <row r="287" spans="1:18" s="6" customFormat="1" ht="32.25" customHeight="1" x14ac:dyDescent="0.15">
      <c r="A287" s="26"/>
      <c r="B287" s="26"/>
      <c r="C287" s="26"/>
      <c r="D287" s="26"/>
      <c r="E287" s="26"/>
      <c r="F287" s="59"/>
      <c r="G287" s="59"/>
      <c r="H287" s="59"/>
      <c r="I287" s="59"/>
      <c r="J287" s="76"/>
      <c r="K287" s="59"/>
      <c r="L287" s="26"/>
      <c r="M287" s="27"/>
      <c r="N287" s="84" t="s">
        <v>642</v>
      </c>
      <c r="O287" s="84" t="s">
        <v>643</v>
      </c>
      <c r="P287" s="85" t="str">
        <f t="shared" si="4"/>
        <v>亀山城と宿場／鎌倉時代～安土桃山時代の亀山城主</v>
      </c>
      <c r="Q287" s="70"/>
      <c r="R287" s="316"/>
    </row>
    <row r="288" spans="1:18" s="6" customFormat="1" ht="45.75" customHeight="1" x14ac:dyDescent="0.15">
      <c r="A288" s="26"/>
      <c r="B288" s="26"/>
      <c r="C288" s="26"/>
      <c r="D288" s="26"/>
      <c r="E288" s="26"/>
      <c r="F288" s="59"/>
      <c r="G288" s="59"/>
      <c r="H288" s="59"/>
      <c r="I288" s="59"/>
      <c r="J288" s="76"/>
      <c r="K288" s="59"/>
      <c r="L288" s="26"/>
      <c r="M288" s="27"/>
      <c r="N288" s="84" t="s">
        <v>702</v>
      </c>
      <c r="O288" s="84" t="s">
        <v>703</v>
      </c>
      <c r="P288" s="85" t="str">
        <f t="shared" si="4"/>
        <v>日本の歴史の中の亀山／中世の亀山／武士の台頭と亀山／平氏と源氏／平資盛と関氏のはじまり／平資盛の子孫たち</v>
      </c>
      <c r="Q288" s="70"/>
      <c r="R288" s="316"/>
    </row>
    <row r="289" spans="1:18" s="6" customFormat="1" ht="51" customHeight="1" x14ac:dyDescent="0.15">
      <c r="A289" s="7"/>
      <c r="B289" s="7"/>
      <c r="C289" s="7"/>
      <c r="D289" s="7"/>
      <c r="E289" s="7"/>
      <c r="F289" s="60"/>
      <c r="G289" s="60"/>
      <c r="H289" s="60"/>
      <c r="I289" s="60"/>
      <c r="J289" s="102"/>
      <c r="K289" s="60"/>
      <c r="L289" s="7"/>
      <c r="M289" s="18"/>
      <c r="N289" s="86" t="s">
        <v>704</v>
      </c>
      <c r="O289" s="86" t="s">
        <v>705</v>
      </c>
      <c r="P289" s="87" t="str">
        <f t="shared" si="4"/>
        <v>日本の歴史の中の亀山／中世の亀山／東アジアとのかかわり／戦国時代の亀山／中世の城跡</v>
      </c>
      <c r="Q289" s="65"/>
      <c r="R289" s="9"/>
    </row>
    <row r="290" spans="1:18" s="6" customFormat="1" ht="34.5" customHeight="1" x14ac:dyDescent="0.15">
      <c r="A290" s="11" t="s">
        <v>681</v>
      </c>
      <c r="B290" s="11">
        <v>14</v>
      </c>
      <c r="C290" s="11" t="s">
        <v>706</v>
      </c>
      <c r="D290" s="11">
        <v>1274</v>
      </c>
      <c r="E290" s="11" t="s">
        <v>59</v>
      </c>
      <c r="F290" s="61" t="s">
        <v>707</v>
      </c>
      <c r="G290" s="61"/>
      <c r="H290" s="61"/>
      <c r="I290" s="61"/>
      <c r="J290" s="61"/>
      <c r="K290" s="61"/>
      <c r="L290" s="11"/>
      <c r="M290" s="11"/>
      <c r="N290" s="12" t="s">
        <v>708</v>
      </c>
      <c r="O290" s="12" t="s">
        <v>709</v>
      </c>
      <c r="P290" s="13" t="str">
        <f t="shared" si="4"/>
        <v>日本の歴史の中の亀山／中世の亀山／東アジアとのかかわり</v>
      </c>
      <c r="Q290" s="63"/>
      <c r="R290" s="11"/>
    </row>
    <row r="291" spans="1:18" s="6" customFormat="1" ht="32.25" customHeight="1" x14ac:dyDescent="0.15">
      <c r="A291" s="11" t="s">
        <v>681</v>
      </c>
      <c r="B291" s="11">
        <v>14</v>
      </c>
      <c r="C291" s="11" t="s">
        <v>710</v>
      </c>
      <c r="D291" s="11">
        <v>1281</v>
      </c>
      <c r="E291" s="11" t="s">
        <v>59</v>
      </c>
      <c r="F291" s="61" t="s">
        <v>711</v>
      </c>
      <c r="G291" s="61"/>
      <c r="H291" s="61"/>
      <c r="I291" s="61"/>
      <c r="J291" s="61"/>
      <c r="K291" s="61"/>
      <c r="L291" s="11"/>
      <c r="M291" s="11"/>
      <c r="N291" s="12" t="s">
        <v>708</v>
      </c>
      <c r="O291" s="12" t="s">
        <v>709</v>
      </c>
      <c r="P291" s="13" t="str">
        <f t="shared" si="4"/>
        <v>日本の歴史の中の亀山／中世の亀山／東アジアとのかかわり</v>
      </c>
      <c r="Q291" s="63"/>
      <c r="R291" s="11"/>
    </row>
    <row r="292" spans="1:18" s="6" customFormat="1" ht="29.25" customHeight="1" x14ac:dyDescent="0.15">
      <c r="A292" s="11" t="s">
        <v>681</v>
      </c>
      <c r="B292" s="11">
        <v>14</v>
      </c>
      <c r="C292" s="11" t="s">
        <v>712</v>
      </c>
      <c r="D292" s="11">
        <v>1324</v>
      </c>
      <c r="E292" s="11" t="s">
        <v>34</v>
      </c>
      <c r="F292" s="61"/>
      <c r="G292" s="61" t="s">
        <v>713</v>
      </c>
      <c r="H292" s="61" t="s">
        <v>464</v>
      </c>
      <c r="I292" s="61" t="s">
        <v>394</v>
      </c>
      <c r="J292" s="82" t="str">
        <f>HYPERLINK("http://kameyamarekihaku.jp/sisi/tuusiHP_next/kochuusei/image/08/gi.htm?pf=1242sh140.JPG&amp;?pn=%20%E7%8F%BE%E5%9C%A8%E3%81%AE%E6%85%88%E6%81%A9%E5%AF%BA%EF%BC%88%E9%87%8E%E6%9D%91%E7%94%BA%EF%BC%89","慈恩寺")</f>
        <v>慈恩寺</v>
      </c>
      <c r="K292" s="61" t="s">
        <v>714</v>
      </c>
      <c r="L292" s="11"/>
      <c r="M292" s="11"/>
      <c r="N292" s="12"/>
      <c r="O292" s="12" t="e">
        <v>#VALUE!</v>
      </c>
      <c r="P292" s="13" t="str">
        <f t="shared" si="4"/>
        <v/>
      </c>
      <c r="Q292" s="63"/>
      <c r="R292" s="11" t="s">
        <v>715</v>
      </c>
    </row>
    <row r="293" spans="1:18" s="6" customFormat="1" ht="40.5" x14ac:dyDescent="0.15">
      <c r="A293" s="11" t="s">
        <v>716</v>
      </c>
      <c r="B293" s="11">
        <v>14</v>
      </c>
      <c r="C293" s="11" t="s">
        <v>717</v>
      </c>
      <c r="D293" s="11">
        <v>1332</v>
      </c>
      <c r="E293" s="11" t="s">
        <v>34</v>
      </c>
      <c r="F293" s="61"/>
      <c r="G293" s="61" t="s">
        <v>718</v>
      </c>
      <c r="H293" s="61" t="s">
        <v>464</v>
      </c>
      <c r="I293" s="61" t="s">
        <v>719</v>
      </c>
      <c r="J293" s="82" t="str">
        <f>HYPERLINK("http://kameyamarekihaku.jp/sisi/koukoHP/archives/kamejyougennjyo/01/01-06/gi.html?pf=KJGNJY0106-06-001.JPG&amp;pn=%E4%BA%80%E5%B1%B1%E7%A5%9E%E7%A4%BE","亀山神社")</f>
        <v>亀山神社</v>
      </c>
      <c r="K293" s="61" t="s">
        <v>720</v>
      </c>
      <c r="L293" s="11"/>
      <c r="M293" s="22" t="str">
        <f>HYPERLINK("http://kameyamarekihaku.jp/sisi/koukoHP/archives/kamejyougennjyo/01/01-06/gi.html?pf=KJGNJY0106-06-010.JPG&amp;pn=%E5%AE%9D%E7%AF%8B%E5%8D%B0%E5%A1%94%E5%8F%B0%E7%9F%B3","宝篋印塔基礎部")</f>
        <v>宝篋印塔基礎部</v>
      </c>
      <c r="N293" s="12"/>
      <c r="O293" s="12" t="e">
        <v>#VALUE!</v>
      </c>
      <c r="P293" s="13" t="str">
        <f t="shared" si="4"/>
        <v/>
      </c>
      <c r="Q293" s="63"/>
      <c r="R293" s="11" t="s">
        <v>721</v>
      </c>
    </row>
    <row r="294" spans="1:18" s="6" customFormat="1" ht="40.5" x14ac:dyDescent="0.15">
      <c r="A294" s="11" t="s">
        <v>716</v>
      </c>
      <c r="B294" s="11">
        <v>14</v>
      </c>
      <c r="C294" s="11" t="s">
        <v>722</v>
      </c>
      <c r="D294" s="11">
        <v>1333</v>
      </c>
      <c r="E294" s="11" t="s">
        <v>20</v>
      </c>
      <c r="F294" s="61" t="s">
        <v>723</v>
      </c>
      <c r="G294" s="61"/>
      <c r="H294" s="61"/>
      <c r="I294" s="61"/>
      <c r="J294" s="61"/>
      <c r="K294" s="61"/>
      <c r="L294" s="11"/>
      <c r="M294" s="11"/>
      <c r="N294" s="12"/>
      <c r="O294" s="12" t="e">
        <v>#VALUE!</v>
      </c>
      <c r="P294" s="13" t="str">
        <f t="shared" si="4"/>
        <v/>
      </c>
      <c r="Q294" s="63"/>
      <c r="R294" s="11"/>
    </row>
    <row r="295" spans="1:18" s="6" customFormat="1" ht="40.5" x14ac:dyDescent="0.15">
      <c r="A295" s="11" t="s">
        <v>716</v>
      </c>
      <c r="B295" s="11">
        <v>14</v>
      </c>
      <c r="C295" s="11" t="s">
        <v>724</v>
      </c>
      <c r="D295" s="11">
        <v>1336</v>
      </c>
      <c r="E295" s="11" t="s">
        <v>20</v>
      </c>
      <c r="F295" s="61" t="s">
        <v>725</v>
      </c>
      <c r="G295" s="61"/>
      <c r="H295" s="61"/>
      <c r="I295" s="61"/>
      <c r="J295" s="61"/>
      <c r="K295" s="61"/>
      <c r="L295" s="11"/>
      <c r="M295" s="11"/>
      <c r="N295" s="23" t="s">
        <v>726</v>
      </c>
      <c r="O295" s="23" t="s">
        <v>727</v>
      </c>
      <c r="P295" s="24" t="str">
        <f t="shared" si="4"/>
        <v>日本の歴史の中の亀山／中世の亀山／東アジアとのかかわり／南北朝の動乱と亀山</v>
      </c>
      <c r="Q295" s="25" t="str">
        <f>HYPERLINK("http:/kameyamarekihaku.jp/sisi/tuusiHP_next/tuusi-index.html#kochuusei0701","市史通史編 原始・古代・中世第7章第1節")</f>
        <v>市史通史編 原始・古代・中世第7章第1節</v>
      </c>
      <c r="R295" s="11" t="s">
        <v>83</v>
      </c>
    </row>
    <row r="296" spans="1:18" s="6" customFormat="1" ht="48.75" customHeight="1" x14ac:dyDescent="0.15">
      <c r="A296" s="15" t="s">
        <v>716</v>
      </c>
      <c r="B296" s="15">
        <v>14</v>
      </c>
      <c r="C296" s="15" t="s">
        <v>728</v>
      </c>
      <c r="D296" s="15">
        <v>1337</v>
      </c>
      <c r="E296" s="15" t="s">
        <v>20</v>
      </c>
      <c r="F296" s="62"/>
      <c r="G296" s="62" t="s">
        <v>729</v>
      </c>
      <c r="H296" s="62" t="s">
        <v>113</v>
      </c>
      <c r="I296" s="62" t="s">
        <v>516</v>
      </c>
      <c r="J296" s="71" t="str">
        <f>HYPERLINK("http://kameyamarekihaku.jp/sisi/tuusiHP_next/kochuusei/image/05/gi.htm?pf=1173sh093.JPG&amp;?pn=%20%E7%9F%B3%E4%B8%8A%E5%AF%BA%EF%BC%88%E5%92%8C%E7%94%B0%E7%94%BA%EF%BC%89","石上寺")</f>
        <v>石上寺</v>
      </c>
      <c r="K296" s="62" t="s">
        <v>730</v>
      </c>
      <c r="L296" s="16" t="str">
        <f>HYPERLINK("http:/kameyamarekihaku.jp/sisi/tuusiHP_next/kochuusei/image/07/gi.htm?pf=1228sh127.JPG&amp;?pn=%20%E7%95%A0%E5%B1%B1%E9%AB%98%E5%9B%BD%E6%9B%B8%E4%B8%8B","畠山高国禁制（寄託石上寺文書、レプリカ）")</f>
        <v>畠山高国禁制（寄託石上寺文書、レプリカ）</v>
      </c>
      <c r="M296" s="15"/>
      <c r="N296" s="32" t="s">
        <v>731</v>
      </c>
      <c r="O296" s="32" t="s">
        <v>687</v>
      </c>
      <c r="P296" s="33" t="str">
        <f t="shared" si="4"/>
        <v>日本の歴史の中の亀山／中世の亀山／武士の台頭と亀山／仏教の広がり／石上寺文書</v>
      </c>
      <c r="Q296" s="17" t="str">
        <f>HYPERLINK("http://kameyamarekihaku.jp/rekisi-hiroba/tyu-sei_monjo/web24_cyuseimonjyo/web24_cyuseimonjyo_indx.html","歴史広場　亀山市内にひろがる中世文書")</f>
        <v>歴史広場　亀山市内にひろがる中世文書</v>
      </c>
      <c r="R296" s="15" t="s">
        <v>732</v>
      </c>
    </row>
    <row r="297" spans="1:18" s="6" customFormat="1" ht="33" customHeight="1" x14ac:dyDescent="0.15">
      <c r="A297" s="7"/>
      <c r="B297" s="7"/>
      <c r="C297" s="7"/>
      <c r="D297" s="7"/>
      <c r="E297" s="7"/>
      <c r="F297" s="60"/>
      <c r="G297" s="60"/>
      <c r="H297" s="60"/>
      <c r="I297" s="60"/>
      <c r="J297" s="102"/>
      <c r="K297" s="60"/>
      <c r="L297" s="18"/>
      <c r="M297" s="7"/>
      <c r="N297" s="29" t="s">
        <v>689</v>
      </c>
      <c r="O297" s="29" t="s">
        <v>687</v>
      </c>
      <c r="P297" s="30" t="str">
        <f t="shared" si="4"/>
        <v>亀山のいいとこさがし／手紙や本／手紙や記録など／石上寺文書</v>
      </c>
      <c r="Q297" s="10"/>
      <c r="R297" s="7"/>
    </row>
    <row r="298" spans="1:18" s="6" customFormat="1" ht="40.5" x14ac:dyDescent="0.15">
      <c r="A298" s="11" t="s">
        <v>716</v>
      </c>
      <c r="B298" s="11">
        <v>14</v>
      </c>
      <c r="C298" s="11" t="s">
        <v>733</v>
      </c>
      <c r="D298" s="11">
        <v>1338</v>
      </c>
      <c r="E298" s="11" t="s">
        <v>20</v>
      </c>
      <c r="F298" s="61" t="s">
        <v>734</v>
      </c>
      <c r="G298" s="61"/>
      <c r="H298" s="61"/>
      <c r="I298" s="61"/>
      <c r="J298" s="61"/>
      <c r="K298" s="61"/>
      <c r="L298" s="11"/>
      <c r="M298" s="11"/>
      <c r="N298" s="12"/>
      <c r="O298" s="12" t="e">
        <v>#VALUE!</v>
      </c>
      <c r="P298" s="13" t="str">
        <f t="shared" si="4"/>
        <v/>
      </c>
      <c r="Q298" s="63"/>
      <c r="R298" s="11"/>
    </row>
    <row r="299" spans="1:18" s="6" customFormat="1" ht="47.25" customHeight="1" x14ac:dyDescent="0.15">
      <c r="A299" s="15" t="s">
        <v>716</v>
      </c>
      <c r="B299" s="15">
        <v>14</v>
      </c>
      <c r="C299" s="15" t="s">
        <v>733</v>
      </c>
      <c r="D299" s="15">
        <v>1338</v>
      </c>
      <c r="E299" s="15" t="s">
        <v>20</v>
      </c>
      <c r="F299" s="62"/>
      <c r="G299" s="62" t="s">
        <v>735</v>
      </c>
      <c r="H299" s="62" t="s">
        <v>113</v>
      </c>
      <c r="I299" s="62" t="s">
        <v>516</v>
      </c>
      <c r="J299" s="71" t="str">
        <f>HYPERLINK("http://kameyamarekihaku.jp/sisi/tuusiHP_next/kochuusei/image/05/gi.htm?pf=1173sh093.JPG&amp;?pn=%20%E7%9F%B3%E4%B8%8A%E5%AF%BA%EF%BC%88%E5%92%8C%E7%94%B0%E7%94%BA%EF%BC%89","石上寺")</f>
        <v>石上寺</v>
      </c>
      <c r="K299" s="62" t="s">
        <v>736</v>
      </c>
      <c r="L299" s="16" t="str">
        <f>HYPERLINK("http:/kameyamarekihaku.jp/sisi/tuusiHP_next/kochuusei/image/07/gi.htm?pf=1229sh128.JPG&amp;?pn=%20%E9%AB%98%E5%B8%AB%E7%A7%8B%E6%9B%B8%E4%B8%8B","高師秋禁制（寄託石上寺文書）")</f>
        <v>高師秋禁制（寄託石上寺文書）</v>
      </c>
      <c r="M299" s="15"/>
      <c r="N299" s="32" t="s">
        <v>694</v>
      </c>
      <c r="O299" s="32" t="s">
        <v>687</v>
      </c>
      <c r="P299" s="33" t="str">
        <f t="shared" si="4"/>
        <v>日本の歴史の中の亀山／中世の亀山／武士の台頭と亀山／仏教の広がり／石上寺文書</v>
      </c>
      <c r="Q299" s="17" t="str">
        <f>HYPERLINK("http://kameyamarekihaku.jp/rekisi-hiroba/tyu-sei_monjo/web24_cyuseimonjyo/web24_cyuseimonjyo_indx.html","歴史広場　亀山市内にひろがる中世文書")</f>
        <v>歴史広場　亀山市内にひろがる中世文書</v>
      </c>
      <c r="R299" s="298" t="s">
        <v>737</v>
      </c>
    </row>
    <row r="300" spans="1:18" s="6" customFormat="1" ht="33" customHeight="1" x14ac:dyDescent="0.15">
      <c r="A300" s="7"/>
      <c r="B300" s="7"/>
      <c r="C300" s="7"/>
      <c r="D300" s="7"/>
      <c r="E300" s="7"/>
      <c r="F300" s="60"/>
      <c r="G300" s="60"/>
      <c r="H300" s="60"/>
      <c r="I300" s="60"/>
      <c r="J300" s="102"/>
      <c r="K300" s="60"/>
      <c r="L300" s="18"/>
      <c r="M300" s="7"/>
      <c r="N300" s="29" t="s">
        <v>689</v>
      </c>
      <c r="O300" s="29" t="s">
        <v>687</v>
      </c>
      <c r="P300" s="30" t="str">
        <f t="shared" si="4"/>
        <v>亀山のいいとこさがし／手紙や本／手紙や記録など／石上寺文書</v>
      </c>
      <c r="Q300" s="10"/>
      <c r="R300" s="299"/>
    </row>
    <row r="301" spans="1:18" s="6" customFormat="1" ht="40.5" x14ac:dyDescent="0.15">
      <c r="A301" s="11" t="s">
        <v>716</v>
      </c>
      <c r="B301" s="11">
        <v>14</v>
      </c>
      <c r="C301" s="11" t="s">
        <v>738</v>
      </c>
      <c r="D301" s="11">
        <v>1341</v>
      </c>
      <c r="E301" s="11" t="s">
        <v>34</v>
      </c>
      <c r="F301" s="61"/>
      <c r="G301" s="61" t="s">
        <v>739</v>
      </c>
      <c r="H301" s="61" t="s">
        <v>464</v>
      </c>
      <c r="I301" s="61" t="s">
        <v>394</v>
      </c>
      <c r="J301" s="82" t="str">
        <f>HYPERLINK("http://kameyamarekihaku.jp/sisi/tuusiHP_next/kochuusei/image/08/gi.htm?pf=1242sh140.JPG&amp;?pn=%20%E7%8F%BE%E5%9C%A8%E3%81%AE%E6%85%88%E6%81%A9%E5%AF%BA%EF%BC%88%E9%87%8E%E6%9D%91%E7%94%BA%EF%BC%89","慈恩寺")</f>
        <v>慈恩寺</v>
      </c>
      <c r="K301" s="61" t="s">
        <v>740</v>
      </c>
      <c r="L301" s="11"/>
      <c r="M301" s="61" t="s">
        <v>741</v>
      </c>
      <c r="N301" s="12"/>
      <c r="O301" s="12" t="e">
        <v>#VALUE!</v>
      </c>
      <c r="P301" s="13" t="str">
        <f t="shared" si="4"/>
        <v/>
      </c>
      <c r="Q301" s="63"/>
      <c r="R301" s="61" t="s">
        <v>742</v>
      </c>
    </row>
    <row r="302" spans="1:18" s="6" customFormat="1" ht="45.75" customHeight="1" x14ac:dyDescent="0.15">
      <c r="A302" s="298" t="s">
        <v>716</v>
      </c>
      <c r="B302" s="15">
        <v>14</v>
      </c>
      <c r="C302" s="15" t="s">
        <v>743</v>
      </c>
      <c r="D302" s="15">
        <v>1342</v>
      </c>
      <c r="E302" s="15" t="s">
        <v>20</v>
      </c>
      <c r="F302" s="62"/>
      <c r="G302" s="327" t="s">
        <v>744</v>
      </c>
      <c r="H302" s="62" t="s">
        <v>113</v>
      </c>
      <c r="I302" s="62" t="s">
        <v>516</v>
      </c>
      <c r="J302" s="71" t="str">
        <f>HYPERLINK("http://kameyamarekihaku.jp/sisi/tuusiHP_next/kochuusei/image/05/gi.htm?pf=1173sh093.JPG&amp;?pn=%20%E7%9F%B3%E4%B8%8A%E5%AF%BA%EF%BC%88%E5%92%8C%E7%94%B0%E7%94%BA%EF%BC%89","石上寺")</f>
        <v>石上寺</v>
      </c>
      <c r="K302" s="62" t="s">
        <v>745</v>
      </c>
      <c r="L302" s="17" t="str">
        <f>HYPERLINK("http:/kameyamarekihaku.jp/sisi/tuusiHP_next/kochuusei/image/07/gi.htm?pf=1230sh129.JPG&amp;?pn=%20%E4%BB%81%E6%9C%A8%E7%BE%A9%E9%95%B7%E6%9B%B8%E4%B8%8B","仁木義長禁制（寄託石上寺文書）")</f>
        <v>仁木義長禁制（寄託石上寺文書）</v>
      </c>
      <c r="M302" s="15"/>
      <c r="N302" s="32" t="s">
        <v>746</v>
      </c>
      <c r="O302" s="32" t="s">
        <v>687</v>
      </c>
      <c r="P302" s="33" t="str">
        <f t="shared" si="4"/>
        <v>日本の歴史の中の亀山／中世の亀山／武士の台頭と亀山／仏教の広がり／石上寺文書</v>
      </c>
      <c r="Q302" s="17" t="str">
        <f>HYPERLINK("http://kameyamarekihaku.jp/rekisi-hiroba/tyu-sei_monjo/web24_cyuseimonjyo/web24_cyuseimonjyo_indx.html","歴史広場　亀山市内にひろがる中世文書")</f>
        <v>歴史広場　亀山市内にひろがる中世文書</v>
      </c>
      <c r="R302" s="298" t="s">
        <v>737</v>
      </c>
    </row>
    <row r="303" spans="1:18" s="6" customFormat="1" ht="32.25" customHeight="1" x14ac:dyDescent="0.15">
      <c r="A303" s="299"/>
      <c r="B303" s="7"/>
      <c r="C303" s="7"/>
      <c r="D303" s="7"/>
      <c r="E303" s="7"/>
      <c r="F303" s="60"/>
      <c r="G303" s="329"/>
      <c r="H303" s="60"/>
      <c r="I303" s="60"/>
      <c r="J303" s="60"/>
      <c r="K303" s="60"/>
      <c r="L303" s="10" t="str">
        <f>HYPERLINK("http:/kameyamarekihaku.jp/sisi/tuusiHP_next/kochuusei/image/07/gi.htm?pf=1231sh130.JPG&amp;?pn=%20%E4%BB%81%E6%9C%A8%E7%BE%A9%E9%95%B7%E6%9B%B8%E4%B8%8B","仁木義長禁制（寄託石上寺文書）")</f>
        <v>仁木義長禁制（寄託石上寺文書）</v>
      </c>
      <c r="M303" s="7"/>
      <c r="N303" s="29" t="s">
        <v>689</v>
      </c>
      <c r="O303" s="29" t="s">
        <v>687</v>
      </c>
      <c r="P303" s="30" t="str">
        <f t="shared" si="4"/>
        <v>亀山のいいとこさがし／手紙や本／手紙や記録など／石上寺文書</v>
      </c>
      <c r="Q303" s="10"/>
      <c r="R303" s="299"/>
    </row>
    <row r="304" spans="1:18" s="6" customFormat="1" ht="31.5" customHeight="1" x14ac:dyDescent="0.15">
      <c r="A304" s="298" t="s">
        <v>716</v>
      </c>
      <c r="B304" s="15">
        <v>14</v>
      </c>
      <c r="C304" s="15" t="s">
        <v>747</v>
      </c>
      <c r="D304" s="15">
        <v>1367</v>
      </c>
      <c r="E304" s="15" t="s">
        <v>20</v>
      </c>
      <c r="F304" s="62"/>
      <c r="G304" s="327" t="s">
        <v>748</v>
      </c>
      <c r="H304" s="11" t="s">
        <v>464</v>
      </c>
      <c r="I304" s="11" t="s">
        <v>698</v>
      </c>
      <c r="J304" s="82" t="str">
        <f>HYPERLINK("http://kameyamarekihaku.jp/sisi/koukoHP/archives/kamejyougennjyo/01/01-01/gi.html?pf=KJGNJY0101-01-065.JPG&amp;pn=%E4%BA%80%E5%B1%B1%E5%8F%A4%E5%9F%8E%EF%BC%88%E6%84%9B%E5%AE%95%E5%B1%B1%EF%BC%89","亀山古城（愛宕山）")</f>
        <v>亀山古城（愛宕山）</v>
      </c>
      <c r="K304" s="11"/>
      <c r="L304" s="22" t="str">
        <f>HYPERLINK("http://kameyamarekihaku.jp/sisi/KoukoHP/archives/minejyouat/01/01-01/gi.html?pf=MINEJ0101-01-018.jpg&amp;pn=%E5%B3%AF%E5%9F%8E%E8%B7%A1%E5%B9%B3%E9%9D%A2%E5%9B%B3","峯城跡地形測量図")</f>
        <v>峯城跡地形測量図</v>
      </c>
      <c r="M304" s="82" t="str">
        <f>HYPERLINK("http://kameyamarekihaku.jp/sisi/tuusiHP_next/kochuusei/image/08/gi.htm?pf=1238sh136.JPG&amp;?pn=%20%E4%BA%80%E5%B1%B1%E5%8F%A4%E5%9F%8E%E8%B7%A1%EF%BC%88%E8%8B%A5%E5%B1%B1%E7%94%BA%EF%BC%89","亀山古城跡碑")</f>
        <v>亀山古城跡碑</v>
      </c>
      <c r="N304" s="23" t="s">
        <v>749</v>
      </c>
      <c r="O304" s="23" t="s">
        <v>750</v>
      </c>
      <c r="P304" s="24" t="str">
        <f t="shared" si="4"/>
        <v>亀山城と宿場／亀山城のはじまり／亀山古城</v>
      </c>
      <c r="Q304" s="82" t="str">
        <f>HYPERLINK("http://kameyamarekihaku.jp/sisi/kouko/kouko_minejou.htm","亀山市史考古の峯城跡調査")</f>
        <v>亀山市史考古の峯城跡調査</v>
      </c>
      <c r="R304" s="298" t="s">
        <v>751</v>
      </c>
    </row>
    <row r="305" spans="1:18" s="6" customFormat="1" ht="46.5" customHeight="1" x14ac:dyDescent="0.15">
      <c r="A305" s="316"/>
      <c r="B305" s="26"/>
      <c r="C305" s="26"/>
      <c r="D305" s="26"/>
      <c r="E305" s="26"/>
      <c r="F305" s="59"/>
      <c r="G305" s="328"/>
      <c r="H305" s="15" t="s">
        <v>752</v>
      </c>
      <c r="I305" s="15" t="s">
        <v>753</v>
      </c>
      <c r="J305" s="16" t="str">
        <f>HYPERLINK("http://kameyamarekihaku.jp/sisi/koukoHP/archives/kabutojyouato/01/01-01/gi.html?pf=KBTJ0101-01-007.jpg&amp;pn=%E9%B9%BF%E4%BC%8F%E5%85%8E%E5%9F%8E%E8%B7%A1%E9%81%A0%E6%99%AF","鹿伏兎城跡")</f>
        <v>鹿伏兎城跡</v>
      </c>
      <c r="K305" s="15"/>
      <c r="L305" s="113"/>
      <c r="M305" s="16" t="str">
        <f>HYPERLINK("http://kameyamarekihaku.jp/sisi/KoukoHP/archives/kabutojyouato/01/01-01/gi.html?pf=KBTJ0101-01-001.jpg&amp;pn=%E9%B9%BF%E4%BC%8F%E5%85%8E%E5%9F%8E%E8%99%8E%E5%8F%A3","鹿伏兎城跡案内板")</f>
        <v>鹿伏兎城跡案内板</v>
      </c>
      <c r="N305" s="32" t="s">
        <v>754</v>
      </c>
      <c r="O305" s="32" t="s">
        <v>703</v>
      </c>
      <c r="P305" s="33" t="str">
        <f t="shared" si="4"/>
        <v>日本の歴史の中の亀山／中世の亀山／武士の台頭と亀山／平氏と源氏／平資盛と関氏のはじまり／平資盛の子孫たち</v>
      </c>
      <c r="Q305" s="48" t="str">
        <f>HYPERLINK("http:/kameyamarekihaku.jp/sisi/KoukoHP/iseki.html","市史考古編遺跡一覧N0.61")</f>
        <v>市史考古編遺跡一覧N0.61</v>
      </c>
      <c r="R305" s="316"/>
    </row>
    <row r="306" spans="1:18" s="6" customFormat="1" ht="43.5" customHeight="1" x14ac:dyDescent="0.15">
      <c r="A306" s="316"/>
      <c r="B306" s="26"/>
      <c r="C306" s="26"/>
      <c r="D306" s="26"/>
      <c r="E306" s="26"/>
      <c r="F306" s="59"/>
      <c r="G306" s="328"/>
      <c r="H306" s="26"/>
      <c r="I306" s="26"/>
      <c r="J306" s="27"/>
      <c r="K306" s="26"/>
      <c r="L306" s="27"/>
      <c r="M306" s="27" t="str">
        <f>HYPERLINK("http://kameyamarekihaku.jp/sisi/koukoHP/archives/kabutojyouato/01/01-01/gi.html?pf=KBTJ0101-01-002.jpg&amp;pn=%E9%B9%BF%E4%BC%8F%E5%85%8E%E5%9F%8E%E8%99%8E%E5%8F%A3%E7%9F%B3%E5%9E%A3%E5%8C%97%E3%81%8B%E3%82%89","鹿伏兎城跡石垣")</f>
        <v>鹿伏兎城跡石垣</v>
      </c>
      <c r="N306" s="19" t="s">
        <v>755</v>
      </c>
      <c r="O306" s="19" t="s">
        <v>705</v>
      </c>
      <c r="P306" s="20" t="str">
        <f t="shared" si="4"/>
        <v>日本の歴史の中の亀山／中世の亀山／東アジアとのかかわり／戦国時代の亀山／中世の城跡</v>
      </c>
      <c r="Q306" s="49"/>
      <c r="R306" s="316"/>
    </row>
    <row r="307" spans="1:18" s="6" customFormat="1" ht="48.75" customHeight="1" x14ac:dyDescent="0.15">
      <c r="A307" s="316"/>
      <c r="B307" s="26"/>
      <c r="C307" s="26"/>
      <c r="D307" s="26"/>
      <c r="E307" s="26"/>
      <c r="F307" s="59"/>
      <c r="G307" s="328"/>
      <c r="H307" s="114"/>
      <c r="I307" s="114"/>
      <c r="J307" s="114"/>
      <c r="K307" s="114"/>
      <c r="L307" s="114"/>
      <c r="M307" s="91"/>
      <c r="N307" s="29" t="s">
        <v>756</v>
      </c>
      <c r="O307" s="29" t="s">
        <v>757</v>
      </c>
      <c r="P307" s="30" t="str">
        <f t="shared" si="4"/>
        <v>亀山のいいとこさがし／景色のよいところや歴史を知る手掛かりとなるもの／歴史上の場所／鹿伏兎城跡</v>
      </c>
      <c r="Q307" s="46"/>
      <c r="R307" s="316"/>
    </row>
    <row r="308" spans="1:18" s="6" customFormat="1" ht="44.25" customHeight="1" x14ac:dyDescent="0.15">
      <c r="A308" s="43"/>
      <c r="B308" s="26"/>
      <c r="C308" s="26"/>
      <c r="D308" s="26"/>
      <c r="E308" s="26"/>
      <c r="F308" s="59"/>
      <c r="G308" s="70"/>
      <c r="H308" s="26" t="s">
        <v>108</v>
      </c>
      <c r="I308" s="26" t="s">
        <v>758</v>
      </c>
      <c r="J308" s="27" t="str">
        <f>HYPERLINK("http://kameyamarekihaku.jp/sisi/koukoHP/gi/gi.htm?pf=sha11-1.jpg&amp;pn=%E4%B8%89%E9%87%8D%E7%9C%8C%E5%8F%B2%E8%B7%A1%E5%B3%AF%E5%9F%8E%E8%B7%A1%EF%BC%88%E7%A9%BA%E4%B8%AD%E5%86%99%E7%9C%9F%EF%BC%89","峯城跡")</f>
        <v>峯城跡</v>
      </c>
      <c r="K308" s="26"/>
      <c r="M308" s="27" t="str">
        <f>HYPERLINK("http://kameyamarekihaku.jp/sisi/koukoHP/archives/minejyouat/01/01-01/gi.html?pf=MINEJ0101-01-010.jpg&amp;pn=%E5%B3%AF%E5%9F%8E%E5%9D%80%E6%A8%99%E6%9F%B1","峯城跡標柱")</f>
        <v>峯城跡標柱</v>
      </c>
      <c r="N308" s="29" t="s">
        <v>759</v>
      </c>
      <c r="O308" s="29" t="s">
        <v>760</v>
      </c>
      <c r="P308" s="30" t="str">
        <f t="shared" si="4"/>
        <v>亀山のいいとこさがし／景色のよいところや歴史を知る手掛かりとなるもの／歴史上の場所／峯城跡</v>
      </c>
      <c r="Q308" s="49" t="str">
        <f>HYPERLINK("http:/kameyamarekihaku.jp/sisi/KoukoHP/iseki.html","市史考古編遺跡一覧N0.60")</f>
        <v>市史考古編遺跡一覧N0.60</v>
      </c>
      <c r="R308" s="43"/>
    </row>
    <row r="309" spans="1:18" s="6" customFormat="1" ht="46.5" customHeight="1" x14ac:dyDescent="0.15">
      <c r="A309" s="15" t="s">
        <v>716</v>
      </c>
      <c r="B309" s="15">
        <v>14</v>
      </c>
      <c r="C309" s="15" t="s">
        <v>761</v>
      </c>
      <c r="D309" s="15">
        <v>1371</v>
      </c>
      <c r="E309" s="15" t="s">
        <v>20</v>
      </c>
      <c r="F309" s="62"/>
      <c r="G309" s="62" t="s">
        <v>762</v>
      </c>
      <c r="H309" s="62" t="s">
        <v>113</v>
      </c>
      <c r="I309" s="62" t="s">
        <v>516</v>
      </c>
      <c r="J309" s="71" t="str">
        <f>HYPERLINK("http://kameyamarekihaku.jp/sisi/tuusiHP_next/kochuusei/image/05/gi.htm?pf=1173sh093.JPG&amp;?pn=%20%E7%9F%B3%E4%B8%8A%E5%AF%BA%EF%BC%88%E5%92%8C%E7%94%B0%E7%94%BA%EF%BC%89","石上寺")</f>
        <v>石上寺</v>
      </c>
      <c r="K309" s="62"/>
      <c r="L309" s="15" t="s">
        <v>763</v>
      </c>
      <c r="M309" s="15"/>
      <c r="N309" s="32" t="s">
        <v>694</v>
      </c>
      <c r="O309" s="32" t="s">
        <v>687</v>
      </c>
      <c r="P309" s="33" t="str">
        <f t="shared" si="4"/>
        <v>日本の歴史の中の亀山／中世の亀山／武士の台頭と亀山／仏教の広がり／石上寺文書</v>
      </c>
      <c r="Q309" s="17" t="str">
        <f>HYPERLINK("http://kameyamarekihaku.jp/rekisi-hiroba/tyu-sei_monjo/web24_cyuseimonjyo/web24_cyuseimonjyo_indx.html","歴史広場　亀山市内にひろがる中世文書")</f>
        <v>歴史広場　亀山市内にひろがる中世文書</v>
      </c>
      <c r="R309" s="15" t="s">
        <v>764</v>
      </c>
    </row>
    <row r="310" spans="1:18" s="6" customFormat="1" ht="32.25" customHeight="1" x14ac:dyDescent="0.15">
      <c r="A310" s="7"/>
      <c r="B310" s="7"/>
      <c r="C310" s="7"/>
      <c r="D310" s="7"/>
      <c r="E310" s="7"/>
      <c r="F310" s="60"/>
      <c r="G310" s="60"/>
      <c r="H310" s="60"/>
      <c r="I310" s="60"/>
      <c r="J310" s="102"/>
      <c r="K310" s="60"/>
      <c r="L310" s="7"/>
      <c r="M310" s="7"/>
      <c r="N310" s="29" t="s">
        <v>689</v>
      </c>
      <c r="O310" s="29" t="s">
        <v>687</v>
      </c>
      <c r="P310" s="30" t="str">
        <f t="shared" si="4"/>
        <v>亀山のいいとこさがし／手紙や本／手紙や記録など／石上寺文書</v>
      </c>
      <c r="Q310" s="10"/>
      <c r="R310" s="7"/>
    </row>
    <row r="311" spans="1:18" s="6" customFormat="1" ht="40.5" x14ac:dyDescent="0.15">
      <c r="A311" s="11" t="s">
        <v>716</v>
      </c>
      <c r="B311" s="11">
        <v>14</v>
      </c>
      <c r="C311" s="11"/>
      <c r="D311" s="11"/>
      <c r="E311" s="11" t="s">
        <v>59</v>
      </c>
      <c r="F311" s="61" t="s">
        <v>765</v>
      </c>
      <c r="G311" s="61"/>
      <c r="H311" s="61"/>
      <c r="I311" s="61"/>
      <c r="J311" s="61"/>
      <c r="K311" s="61"/>
      <c r="L311" s="11"/>
      <c r="M311" s="11"/>
      <c r="N311" s="12"/>
      <c r="O311" s="12" t="e">
        <v>#VALUE!</v>
      </c>
      <c r="P311" s="13" t="str">
        <f t="shared" si="4"/>
        <v/>
      </c>
      <c r="Q311" s="63"/>
      <c r="R311" s="11"/>
    </row>
    <row r="312" spans="1:18" s="6" customFormat="1" ht="40.5" x14ac:dyDescent="0.15">
      <c r="A312" s="11" t="s">
        <v>716</v>
      </c>
      <c r="B312" s="11">
        <v>14</v>
      </c>
      <c r="C312" s="11" t="s">
        <v>766</v>
      </c>
      <c r="D312" s="11">
        <v>1378</v>
      </c>
      <c r="E312" s="11" t="s">
        <v>20</v>
      </c>
      <c r="F312" s="61" t="s">
        <v>767</v>
      </c>
      <c r="G312" s="61"/>
      <c r="H312" s="61"/>
      <c r="I312" s="61"/>
      <c r="J312" s="61"/>
      <c r="K312" s="61"/>
      <c r="L312" s="11"/>
      <c r="M312" s="11"/>
      <c r="N312" s="12"/>
      <c r="O312" s="12" t="e">
        <v>#VALUE!</v>
      </c>
      <c r="P312" s="13" t="str">
        <f t="shared" si="4"/>
        <v/>
      </c>
      <c r="Q312" s="63"/>
      <c r="R312" s="11"/>
    </row>
    <row r="313" spans="1:18" s="6" customFormat="1" ht="15.75" customHeight="1" x14ac:dyDescent="0.15">
      <c r="A313" s="15" t="s">
        <v>716</v>
      </c>
      <c r="B313" s="15">
        <v>14</v>
      </c>
      <c r="C313" s="15" t="s">
        <v>768</v>
      </c>
      <c r="D313" s="15">
        <v>1382</v>
      </c>
      <c r="E313" s="15" t="s">
        <v>769</v>
      </c>
      <c r="F313" s="62"/>
      <c r="G313" s="327" t="s">
        <v>770</v>
      </c>
      <c r="H313" s="62" t="s">
        <v>199</v>
      </c>
      <c r="I313" s="62" t="s">
        <v>200</v>
      </c>
      <c r="J313" s="71" t="str">
        <f>HYPERLINK("http://kameyamarekihaku.jp/sisi/tuusiHP_next/kochuusei/image/10/gi.htm?pf=1310sh192.JPG&amp;?pn=%20%E5%9C%B0%E8%94%B5%E9%99%A2%EF%BC%88%E9%96%A2%E7%94%BA%E6%96%B0%E6%89%80%EF%BC%89","関地蔵院")</f>
        <v>関地蔵院</v>
      </c>
      <c r="K313" s="62" t="s">
        <v>771</v>
      </c>
      <c r="L313" s="15"/>
      <c r="M313" s="15" t="s">
        <v>772</v>
      </c>
      <c r="N313" s="34" t="s">
        <v>773</v>
      </c>
      <c r="O313" s="34" t="s">
        <v>774</v>
      </c>
      <c r="P313" s="35" t="str">
        <f t="shared" si="4"/>
        <v>亀山のいいとこさがし／建物</v>
      </c>
      <c r="Q313" s="83"/>
      <c r="R313" s="15" t="s">
        <v>451</v>
      </c>
    </row>
    <row r="314" spans="1:18" s="6" customFormat="1" ht="59.25" customHeight="1" x14ac:dyDescent="0.15">
      <c r="A314" s="7"/>
      <c r="B314" s="7"/>
      <c r="C314" s="7"/>
      <c r="D314" s="7"/>
      <c r="E314" s="7"/>
      <c r="F314" s="60"/>
      <c r="G314" s="329"/>
      <c r="H314" s="60"/>
      <c r="I314" s="60"/>
      <c r="J314" s="102"/>
      <c r="K314" s="60"/>
      <c r="L314" s="7"/>
      <c r="M314" s="7"/>
      <c r="N314" s="86" t="s">
        <v>775</v>
      </c>
      <c r="O314" s="86" t="s">
        <v>776</v>
      </c>
      <c r="P314" s="87" t="str">
        <f t="shared" si="4"/>
        <v>亀山のいいとこさがし／景色のよいところや歴史を知る手掛かりとなるもの／関宿のまちなみ／新所のまちなみ／地蔵院本堂・鐘楼・愛染堂</v>
      </c>
      <c r="Q314" s="65"/>
      <c r="R314" s="7"/>
    </row>
    <row r="315" spans="1:18" s="6" customFormat="1" ht="18" customHeight="1" x14ac:dyDescent="0.15">
      <c r="A315" s="298" t="s">
        <v>716</v>
      </c>
      <c r="B315" s="15">
        <v>14</v>
      </c>
      <c r="C315" s="300" t="s">
        <v>777</v>
      </c>
      <c r="D315" s="15">
        <v>1391</v>
      </c>
      <c r="E315" s="15" t="s">
        <v>34</v>
      </c>
      <c r="F315" s="62"/>
      <c r="G315" s="333" t="s">
        <v>778</v>
      </c>
      <c r="H315" s="62" t="s">
        <v>464</v>
      </c>
      <c r="I315" s="62" t="s">
        <v>394</v>
      </c>
      <c r="J315" s="71" t="str">
        <f>HYPERLINK("http://kameyamarekihaku.jp/sisi/tuusiHP_next/kochuusei/image/08/gi.htm?pf=1242sh140.JPG&amp;?pn=%20%E7%8F%BE%E5%9C%A8%E3%81%AE%E6%85%88%E6%81%A9%E5%AF%BA%EF%BC%88%E9%87%8E%E6%9D%91%E7%94%BA%EF%BC%89","慈恩寺")</f>
        <v>慈恩寺</v>
      </c>
      <c r="K315" s="62"/>
      <c r="L315" s="15"/>
      <c r="M315" s="15"/>
      <c r="N315" s="34"/>
      <c r="O315" s="34" t="e">
        <v>#VALUE!</v>
      </c>
      <c r="P315" s="35" t="str">
        <f t="shared" si="4"/>
        <v/>
      </c>
      <c r="Q315" s="83"/>
      <c r="R315" s="298" t="s">
        <v>715</v>
      </c>
    </row>
    <row r="316" spans="1:18" s="6" customFormat="1" ht="15" customHeight="1" x14ac:dyDescent="0.15">
      <c r="A316" s="316"/>
      <c r="B316" s="26"/>
      <c r="C316" s="315"/>
      <c r="D316" s="26"/>
      <c r="E316" s="26"/>
      <c r="F316" s="59"/>
      <c r="G316" s="334"/>
      <c r="H316" s="59"/>
      <c r="I316" s="59"/>
      <c r="J316" s="115" t="s">
        <v>779</v>
      </c>
      <c r="K316" s="59"/>
      <c r="L316" s="26"/>
      <c r="M316" s="26"/>
      <c r="N316" s="84"/>
      <c r="O316" s="84" t="e">
        <v>#VALUE!</v>
      </c>
      <c r="P316" s="85" t="str">
        <f t="shared" si="4"/>
        <v/>
      </c>
      <c r="Q316" s="70"/>
      <c r="R316" s="316"/>
    </row>
    <row r="317" spans="1:18" s="6" customFormat="1" ht="15.75" customHeight="1" x14ac:dyDescent="0.15">
      <c r="A317" s="299"/>
      <c r="B317" s="7"/>
      <c r="C317" s="302"/>
      <c r="D317" s="7"/>
      <c r="E317" s="7"/>
      <c r="F317" s="60"/>
      <c r="G317" s="335"/>
      <c r="H317" s="65" t="s">
        <v>780</v>
      </c>
      <c r="I317" s="65" t="s">
        <v>781</v>
      </c>
      <c r="J317" s="59" t="s">
        <v>782</v>
      </c>
      <c r="K317" s="60"/>
      <c r="L317" s="7"/>
      <c r="M317" s="7"/>
      <c r="N317" s="86"/>
      <c r="O317" s="86" t="e">
        <v>#VALUE!</v>
      </c>
      <c r="P317" s="87" t="str">
        <f t="shared" si="4"/>
        <v/>
      </c>
      <c r="Q317" s="65"/>
      <c r="R317" s="299"/>
    </row>
    <row r="318" spans="1:18" s="6" customFormat="1" ht="40.5" x14ac:dyDescent="0.15">
      <c r="A318" s="11" t="s">
        <v>716</v>
      </c>
      <c r="B318" s="11">
        <v>14</v>
      </c>
      <c r="C318" s="11" t="s">
        <v>783</v>
      </c>
      <c r="D318" s="11">
        <v>1392</v>
      </c>
      <c r="E318" s="11" t="s">
        <v>20</v>
      </c>
      <c r="F318" s="61" t="s">
        <v>784</v>
      </c>
      <c r="G318" s="61"/>
      <c r="H318" s="61"/>
      <c r="I318" s="61"/>
      <c r="J318" s="82"/>
      <c r="K318" s="61"/>
      <c r="L318" s="11"/>
      <c r="M318" s="11"/>
      <c r="N318" s="23"/>
      <c r="O318" s="23" t="e">
        <v>#VALUE!</v>
      </c>
      <c r="P318" s="24" t="str">
        <f t="shared" si="4"/>
        <v/>
      </c>
      <c r="Q318" s="25" t="str">
        <f>HYPERLINK("http:/kameyamarekihaku.jp/sisi/tuusiHP_next/tuusi-index.html#kochuusei0702","市史通史編 原始・古代・中世第7章第2節第3節")</f>
        <v>市史通史編 原始・古代・中世第7章第2節第3節</v>
      </c>
      <c r="R318" s="11" t="s">
        <v>83</v>
      </c>
    </row>
    <row r="319" spans="1:18" s="6" customFormat="1" ht="40.5" x14ac:dyDescent="0.15">
      <c r="A319" s="11" t="s">
        <v>681</v>
      </c>
      <c r="B319" s="11">
        <v>14</v>
      </c>
      <c r="C319" s="11" t="s">
        <v>785</v>
      </c>
      <c r="D319" s="11">
        <v>1394</v>
      </c>
      <c r="E319" s="11" t="s">
        <v>34</v>
      </c>
      <c r="F319" s="61"/>
      <c r="G319" s="61" t="s">
        <v>786</v>
      </c>
      <c r="H319" s="61" t="s">
        <v>186</v>
      </c>
      <c r="I319" s="61" t="s">
        <v>787</v>
      </c>
      <c r="J319" s="71" t="str">
        <f>HYPERLINK("http://kameyamarekihaku.jp/sisi/koukoHP/archives/kabutojyouato/01/01-01/gi.html?pf=KBTJ0101-01-007.jpg&amp;pn=%20%E9%B9%BF%E4%BC%8F%E5%85%8E%E5%9F%8E%E8%B7%A1%E3%81%A8%E7%A5%9E%E7%A6%8F%E5%AF%BA%EF%BC%88%E5%8A%A0%E5%A4%AA%E5%B8%82%E5%A0%B4%EF%BC%89","神福寺")</f>
        <v>神福寺</v>
      </c>
      <c r="K319" s="61"/>
      <c r="L319" s="11"/>
      <c r="M319" s="22" t="str">
        <f>HYPERLINK("http://kameyamarekihaku.jp/sisi/tuusiHP_next/kochuusei/image/10/gi.htm?pf=1298sh180.JPG&amp;?pn=%20%E6%A3%9F%E6%9C%AD%EF%BC%88%E7%A5%9E%E7%A6%8F%E5%AF%BA%E6%89%80%E8%94%B5%EF%BC%89","神福寺棟札")</f>
        <v>神福寺棟札</v>
      </c>
      <c r="N319" s="12"/>
      <c r="O319" s="12" t="e">
        <v>#VALUE!</v>
      </c>
      <c r="P319" s="13" t="str">
        <f t="shared" si="4"/>
        <v/>
      </c>
      <c r="Q319" s="63"/>
      <c r="R319" s="11" t="s">
        <v>788</v>
      </c>
    </row>
    <row r="320" spans="1:18" s="6" customFormat="1" x14ac:dyDescent="0.15">
      <c r="A320" s="11" t="s">
        <v>681</v>
      </c>
      <c r="B320" s="11">
        <v>14</v>
      </c>
      <c r="C320" s="11" t="s">
        <v>789</v>
      </c>
      <c r="D320" s="11">
        <v>1397</v>
      </c>
      <c r="E320" s="11" t="s">
        <v>34</v>
      </c>
      <c r="F320" s="61" t="s">
        <v>790</v>
      </c>
      <c r="G320" s="61"/>
      <c r="H320" s="61"/>
      <c r="I320" s="61"/>
      <c r="J320" s="61"/>
      <c r="K320" s="61"/>
      <c r="L320" s="11"/>
      <c r="M320" s="11"/>
      <c r="N320" s="12"/>
      <c r="O320" s="12" t="e">
        <v>#VALUE!</v>
      </c>
      <c r="P320" s="13" t="str">
        <f t="shared" si="4"/>
        <v/>
      </c>
      <c r="Q320" s="63"/>
      <c r="R320" s="11"/>
    </row>
    <row r="321" spans="1:18" s="6" customFormat="1" x14ac:dyDescent="0.15">
      <c r="A321" s="11" t="s">
        <v>681</v>
      </c>
      <c r="B321" s="11">
        <v>15</v>
      </c>
      <c r="C321" s="11" t="s">
        <v>791</v>
      </c>
      <c r="D321" s="11">
        <v>1404</v>
      </c>
      <c r="E321" s="11" t="s">
        <v>59</v>
      </c>
      <c r="F321" s="61" t="s">
        <v>792</v>
      </c>
      <c r="G321" s="61"/>
      <c r="H321" s="61"/>
      <c r="I321" s="61"/>
      <c r="J321" s="61"/>
      <c r="K321" s="61"/>
      <c r="L321" s="11"/>
      <c r="M321" s="11"/>
      <c r="N321" s="12"/>
      <c r="O321" s="12" t="e">
        <v>#VALUE!</v>
      </c>
      <c r="P321" s="13" t="str">
        <f t="shared" si="4"/>
        <v/>
      </c>
      <c r="Q321" s="63"/>
      <c r="R321" s="11"/>
    </row>
    <row r="322" spans="1:18" s="6" customFormat="1" ht="26.25" customHeight="1" x14ac:dyDescent="0.15">
      <c r="A322" s="11" t="s">
        <v>681</v>
      </c>
      <c r="B322" s="11">
        <v>15</v>
      </c>
      <c r="C322" s="11"/>
      <c r="D322" s="11"/>
      <c r="E322" s="11" t="s">
        <v>20</v>
      </c>
      <c r="F322" s="61" t="s">
        <v>793</v>
      </c>
      <c r="G322" s="61"/>
      <c r="H322" s="61"/>
      <c r="I322" s="61"/>
      <c r="J322" s="61"/>
      <c r="K322" s="61"/>
      <c r="L322" s="11"/>
      <c r="M322" s="11"/>
      <c r="N322" s="23"/>
      <c r="O322" s="23" t="e">
        <v>#VALUE!</v>
      </c>
      <c r="P322" s="24" t="str">
        <f t="shared" si="4"/>
        <v/>
      </c>
      <c r="Q322" s="25" t="str">
        <f>HYPERLINK("http:/kameyamarekihaku.jp/sisi/tuusiHP_next/tuusi-index.html#kochuusei0803","市史通史編 原始・古代・中世第8章第3節")</f>
        <v>市史通史編 原始・古代・中世第8章第3節</v>
      </c>
      <c r="R322" s="11" t="s">
        <v>83</v>
      </c>
    </row>
    <row r="323" spans="1:18" s="6" customFormat="1" ht="40.5" x14ac:dyDescent="0.15">
      <c r="A323" s="11" t="s">
        <v>681</v>
      </c>
      <c r="B323" s="11">
        <v>15</v>
      </c>
      <c r="C323" s="11" t="s">
        <v>794</v>
      </c>
      <c r="D323" s="11">
        <v>1418</v>
      </c>
      <c r="E323" s="11" t="s">
        <v>34</v>
      </c>
      <c r="F323" s="61"/>
      <c r="G323" s="61" t="s">
        <v>795</v>
      </c>
      <c r="H323" s="61" t="s">
        <v>796</v>
      </c>
      <c r="I323" s="61" t="s">
        <v>608</v>
      </c>
      <c r="J323" s="61" t="s">
        <v>460</v>
      </c>
      <c r="K323" s="61" t="s">
        <v>797</v>
      </c>
      <c r="L323" s="11"/>
      <c r="M323" s="11" t="s">
        <v>461</v>
      </c>
      <c r="N323" s="12"/>
      <c r="O323" s="12" t="e">
        <v>#VALUE!</v>
      </c>
      <c r="P323" s="13" t="str">
        <f t="shared" ref="P323:P386" si="5">IFERROR(HYPERLINK(O323,N323),"")</f>
        <v/>
      </c>
      <c r="Q323" s="63"/>
      <c r="R323" s="11" t="s">
        <v>798</v>
      </c>
    </row>
    <row r="324" spans="1:18" s="6" customFormat="1" ht="27" x14ac:dyDescent="0.15">
      <c r="A324" s="11" t="s">
        <v>681</v>
      </c>
      <c r="B324" s="11">
        <v>15</v>
      </c>
      <c r="C324" s="11" t="s">
        <v>794</v>
      </c>
      <c r="D324" s="11">
        <v>1418</v>
      </c>
      <c r="E324" s="11" t="s">
        <v>224</v>
      </c>
      <c r="F324" s="61"/>
      <c r="G324" s="61" t="s">
        <v>799</v>
      </c>
      <c r="H324" s="61" t="s">
        <v>199</v>
      </c>
      <c r="I324" s="11" t="s">
        <v>657</v>
      </c>
      <c r="J324" s="112" t="s">
        <v>581</v>
      </c>
      <c r="K324" s="61"/>
      <c r="L324" s="11"/>
      <c r="M324" s="82" t="str">
        <f>HYPERLINK("http://kameyamarekihaku.jp/sisi/tuusiHP_next/kochuusei/image/06/gi.htm?pf=1187sh102.JPG&amp;?pn=%E9%88%B4%E9%B9%BF%E5%B3%A0%EF%BC%88%E3%83%87%E3%82%B8%E3%82%BF%E3%83%AB%E5%85%B1%E6%9C%89%E5%9C%B0%E5%9B%B3%EF%BC%89%E3%80%80","鈴鹿峠")</f>
        <v>鈴鹿峠</v>
      </c>
      <c r="N324" s="12" t="s">
        <v>800</v>
      </c>
      <c r="O324" s="12" t="s">
        <v>801</v>
      </c>
      <c r="P324" s="13" t="str">
        <f t="shared" si="5"/>
        <v>古典に出てくる亀山／旅／室町時代の旅人</v>
      </c>
      <c r="Q324" s="63"/>
      <c r="R324" s="11" t="s">
        <v>451</v>
      </c>
    </row>
    <row r="325" spans="1:18" s="6" customFormat="1" ht="27" x14ac:dyDescent="0.15">
      <c r="A325" s="11" t="s">
        <v>681</v>
      </c>
      <c r="B325" s="11">
        <v>15</v>
      </c>
      <c r="C325" s="11" t="s">
        <v>802</v>
      </c>
      <c r="D325" s="11">
        <v>1422</v>
      </c>
      <c r="E325" s="11" t="s">
        <v>34</v>
      </c>
      <c r="F325" s="61"/>
      <c r="G325" s="61" t="s">
        <v>803</v>
      </c>
      <c r="H325" s="61" t="s">
        <v>393</v>
      </c>
      <c r="I325" s="61" t="s">
        <v>804</v>
      </c>
      <c r="J325" s="61" t="s">
        <v>805</v>
      </c>
      <c r="K325" s="61"/>
      <c r="L325" s="11"/>
      <c r="M325" s="11" t="s">
        <v>806</v>
      </c>
      <c r="N325" s="12"/>
      <c r="O325" s="12" t="e">
        <v>#VALUE!</v>
      </c>
      <c r="P325" s="13" t="str">
        <f t="shared" si="5"/>
        <v/>
      </c>
      <c r="Q325" s="63"/>
      <c r="R325" s="11" t="s">
        <v>451</v>
      </c>
    </row>
    <row r="326" spans="1:18" s="6" customFormat="1" ht="40.5" x14ac:dyDescent="0.15">
      <c r="A326" s="11" t="s">
        <v>681</v>
      </c>
      <c r="B326" s="11">
        <v>15</v>
      </c>
      <c r="C326" s="11" t="s">
        <v>802</v>
      </c>
      <c r="D326" s="11">
        <v>1422</v>
      </c>
      <c r="E326" s="11" t="s">
        <v>807</v>
      </c>
      <c r="F326" s="61"/>
      <c r="G326" s="61" t="s">
        <v>808</v>
      </c>
      <c r="H326" s="61" t="s">
        <v>199</v>
      </c>
      <c r="I326" s="61" t="s">
        <v>200</v>
      </c>
      <c r="J326" s="61" t="s">
        <v>809</v>
      </c>
      <c r="K326" s="61"/>
      <c r="L326" s="11"/>
      <c r="M326" s="11"/>
      <c r="N326" s="12" t="s">
        <v>810</v>
      </c>
      <c r="O326" s="12" t="s">
        <v>811</v>
      </c>
      <c r="P326" s="13" t="str">
        <f t="shared" si="5"/>
        <v>日本の歴史の中の亀山／中世の亀山／東アジアとのかかわり／戦国時代の亀山／応仁の乱と関氏</v>
      </c>
      <c r="Q326" s="63"/>
      <c r="R326" s="11" t="s">
        <v>812</v>
      </c>
    </row>
    <row r="327" spans="1:18" s="6" customFormat="1" ht="27" x14ac:dyDescent="0.15">
      <c r="A327" s="11" t="s">
        <v>681</v>
      </c>
      <c r="B327" s="11">
        <v>15</v>
      </c>
      <c r="C327" s="11" t="s">
        <v>813</v>
      </c>
      <c r="D327" s="11">
        <v>1423</v>
      </c>
      <c r="E327" s="11" t="s">
        <v>691</v>
      </c>
      <c r="F327" s="61"/>
      <c r="G327" s="61" t="s">
        <v>814</v>
      </c>
      <c r="H327" s="61" t="s">
        <v>199</v>
      </c>
      <c r="I327" s="11" t="s">
        <v>657</v>
      </c>
      <c r="J327" s="61" t="s">
        <v>815</v>
      </c>
      <c r="K327" s="61"/>
      <c r="L327" s="11"/>
      <c r="M327" s="22" t="str">
        <f>HYPERLINK("http://kameyamarekihaku.jp/sisi/tuusiHP_next/kochuusei/image/06/gi.htm?pf=1187sh102.JPG&amp;?pn=%E9%88%B4%E9%B9%BF%E5%B3%A0%EF%BC%88%E3%83%87%E3%82%B8%E3%82%BF%E3%83%AB%E5%85%B1%E6%9C%89%E5%9C%B0%E5%9B%B3%EF%BC%89%E3%80%80","鈴鹿峠")</f>
        <v>鈴鹿峠</v>
      </c>
      <c r="N327" s="12"/>
      <c r="O327" s="12" t="e">
        <v>#VALUE!</v>
      </c>
      <c r="P327" s="13" t="str">
        <f t="shared" si="5"/>
        <v/>
      </c>
      <c r="Q327" s="63"/>
      <c r="R327" s="11" t="s">
        <v>586</v>
      </c>
    </row>
    <row r="328" spans="1:18" s="6" customFormat="1" ht="32.25" customHeight="1" x14ac:dyDescent="0.15">
      <c r="A328" s="11" t="s">
        <v>681</v>
      </c>
      <c r="B328" s="11">
        <v>15</v>
      </c>
      <c r="C328" s="11" t="s">
        <v>816</v>
      </c>
      <c r="D328" s="11">
        <v>1424</v>
      </c>
      <c r="E328" s="11" t="s">
        <v>499</v>
      </c>
      <c r="F328" s="61"/>
      <c r="G328" s="61" t="s">
        <v>817</v>
      </c>
      <c r="H328" s="61" t="s">
        <v>199</v>
      </c>
      <c r="I328" s="11" t="s">
        <v>657</v>
      </c>
      <c r="J328" s="61" t="s">
        <v>818</v>
      </c>
      <c r="K328" s="61"/>
      <c r="L328" s="11"/>
      <c r="M328" s="22" t="str">
        <f>HYPERLINK("http://kameyamarekihaku.jp/sisi/tuusiHP_next/kochuusei/image/06/gi.htm?pf=1187sh102.JPG&amp;?pn=%E9%88%B4%E9%B9%BF%E5%B3%A0%EF%BC%88%E3%83%87%E3%82%B8%E3%82%BF%E3%83%AB%E5%85%B1%E6%9C%89%E5%9C%B0%E5%9B%B3%EF%BC%89%E3%80%80","鈴鹿峠")</f>
        <v>鈴鹿峠</v>
      </c>
      <c r="N328" s="12" t="s">
        <v>819</v>
      </c>
      <c r="O328" s="12" t="s">
        <v>801</v>
      </c>
      <c r="P328" s="13" t="str">
        <f t="shared" si="5"/>
        <v>古典に出てくる亀山／旅／室町時代の旅人</v>
      </c>
      <c r="Q328" s="63"/>
      <c r="R328" s="11" t="s">
        <v>820</v>
      </c>
    </row>
    <row r="329" spans="1:18" s="6" customFormat="1" ht="22.5" customHeight="1" x14ac:dyDescent="0.15">
      <c r="A329" s="15" t="s">
        <v>681</v>
      </c>
      <c r="B329" s="15">
        <v>15</v>
      </c>
      <c r="C329" s="15" t="s">
        <v>821</v>
      </c>
      <c r="D329" s="15">
        <v>1429</v>
      </c>
      <c r="E329" s="15" t="s">
        <v>20</v>
      </c>
      <c r="F329" s="62"/>
      <c r="G329" s="62" t="s">
        <v>822</v>
      </c>
      <c r="H329" s="62" t="s">
        <v>40</v>
      </c>
      <c r="I329" s="62" t="s">
        <v>823</v>
      </c>
      <c r="J329" s="62" t="s">
        <v>824</v>
      </c>
      <c r="K329" s="62" t="s">
        <v>825</v>
      </c>
      <c r="L329" s="15" t="s">
        <v>826</v>
      </c>
      <c r="M329" s="15" t="s">
        <v>827</v>
      </c>
      <c r="N329" s="19" t="s">
        <v>828</v>
      </c>
      <c r="O329" s="19" t="s">
        <v>195</v>
      </c>
      <c r="P329" s="20" t="str">
        <f t="shared" si="5"/>
        <v>古典に出てくる亀山／物語／戦いの話</v>
      </c>
      <c r="Q329" s="49" t="str">
        <f>HYPERLINK("http:/kameyamarekihaku.jp/sisi/KoukoHP/iseki.html","市史考古編遺跡一覧N0.4")</f>
        <v>市史考古編遺跡一覧N0.4</v>
      </c>
      <c r="R329" s="298" t="s">
        <v>829</v>
      </c>
    </row>
    <row r="330" spans="1:18" s="6" customFormat="1" ht="44.25" customHeight="1" x14ac:dyDescent="0.15">
      <c r="A330" s="26"/>
      <c r="B330" s="26"/>
      <c r="C330" s="26"/>
      <c r="D330" s="26"/>
      <c r="E330" s="26"/>
      <c r="F330" s="59"/>
      <c r="G330" s="59"/>
      <c r="H330" s="59"/>
      <c r="I330" s="59"/>
      <c r="J330" s="59"/>
      <c r="K330" s="59"/>
      <c r="L330" s="26"/>
      <c r="M330" s="26"/>
      <c r="N330" s="19" t="s">
        <v>830</v>
      </c>
      <c r="O330" s="19" t="s">
        <v>831</v>
      </c>
      <c r="P330" s="20" t="str">
        <f t="shared" si="5"/>
        <v>日本の歴史の中の亀山／中世の亀山／東アジアとのかかわり／南北朝の動乱と亀山／関盛雅の戦い</v>
      </c>
      <c r="Q330" s="49"/>
      <c r="R330" s="316"/>
    </row>
    <row r="331" spans="1:18" s="6" customFormat="1" ht="44.25" customHeight="1" x14ac:dyDescent="0.15">
      <c r="A331" s="7"/>
      <c r="B331" s="7"/>
      <c r="C331" s="7"/>
      <c r="D331" s="7"/>
      <c r="E331" s="7"/>
      <c r="F331" s="60"/>
      <c r="G331" s="60"/>
      <c r="H331" s="60"/>
      <c r="I331" s="60"/>
      <c r="J331" s="60"/>
      <c r="K331" s="60"/>
      <c r="L331" s="7"/>
      <c r="M331" s="7"/>
      <c r="N331" s="29" t="s">
        <v>832</v>
      </c>
      <c r="O331" s="29" t="s">
        <v>705</v>
      </c>
      <c r="P331" s="30" t="str">
        <f t="shared" si="5"/>
        <v>日本の歴史の中の亀山／中世の亀山／東アジアとのかかわり／戦国時代の亀山／中世の城跡</v>
      </c>
      <c r="Q331" s="46"/>
      <c r="R331" s="9"/>
    </row>
    <row r="332" spans="1:18" s="6" customFormat="1" ht="30.75" customHeight="1" x14ac:dyDescent="0.15">
      <c r="A332" s="11" t="s">
        <v>681</v>
      </c>
      <c r="B332" s="11">
        <v>15</v>
      </c>
      <c r="C332" s="11" t="s">
        <v>833</v>
      </c>
      <c r="D332" s="11">
        <v>1433</v>
      </c>
      <c r="E332" s="11" t="s">
        <v>20</v>
      </c>
      <c r="F332" s="61"/>
      <c r="G332" s="61" t="s">
        <v>834</v>
      </c>
      <c r="H332" s="61" t="s">
        <v>199</v>
      </c>
      <c r="I332" s="11" t="s">
        <v>657</v>
      </c>
      <c r="J332" s="61" t="s">
        <v>488</v>
      </c>
      <c r="K332" s="61"/>
      <c r="L332" s="11"/>
      <c r="M332" s="22" t="str">
        <f>HYPERLINK("http://kameyamarekihaku.jp/sisi/tuusiHP_next/kochuusei/image/06/gi.htm?pf=1187sh102.JPG&amp;?pn=%E9%88%B4%E9%B9%BF%E5%B3%A0%EF%BC%88%E3%83%87%E3%82%B8%E3%82%BF%E3%83%AB%E5%85%B1%E6%9C%89%E5%9C%B0%E5%9B%B3%EF%BC%89%E3%80%80","鈴鹿峠")</f>
        <v>鈴鹿峠</v>
      </c>
      <c r="N332" s="12" t="s">
        <v>835</v>
      </c>
      <c r="O332" s="12" t="s">
        <v>836</v>
      </c>
      <c r="P332" s="13" t="str">
        <f t="shared" si="5"/>
        <v>亀山のむかしばなし／こわいはなし／大地震の話／亀山の大地震</v>
      </c>
      <c r="Q332" s="63"/>
      <c r="R332" s="11" t="s">
        <v>433</v>
      </c>
    </row>
    <row r="333" spans="1:18" s="6" customFormat="1" ht="36" customHeight="1" x14ac:dyDescent="0.15">
      <c r="A333" s="11" t="s">
        <v>681</v>
      </c>
      <c r="B333" s="11">
        <v>15</v>
      </c>
      <c r="C333" s="11" t="s">
        <v>833</v>
      </c>
      <c r="D333" s="11">
        <v>1433</v>
      </c>
      <c r="E333" s="11" t="s">
        <v>837</v>
      </c>
      <c r="F333" s="61"/>
      <c r="G333" s="61" t="s">
        <v>838</v>
      </c>
      <c r="H333" s="61" t="s">
        <v>199</v>
      </c>
      <c r="I333" s="11" t="s">
        <v>657</v>
      </c>
      <c r="J333" s="61" t="s">
        <v>581</v>
      </c>
      <c r="K333" s="61"/>
      <c r="L333" s="11"/>
      <c r="M333" s="22" t="str">
        <f>HYPERLINK("http://kameyamarekihaku.jp/sisi/tuusiHP_next/kochuusei/image/06/gi.htm?pf=1187sh102.JPG&amp;?pn=%E9%88%B4%E9%B9%BF%E5%B3%A0%EF%BC%88%E3%83%87%E3%82%B8%E3%82%BF%E3%83%AB%E5%85%B1%E6%9C%89%E5%9C%B0%E5%9B%B3%EF%BC%89%E3%80%80","鈴鹿峠")</f>
        <v>鈴鹿峠</v>
      </c>
      <c r="N333" s="12" t="s">
        <v>839</v>
      </c>
      <c r="O333" s="12" t="s">
        <v>801</v>
      </c>
      <c r="P333" s="13" t="str">
        <f t="shared" si="5"/>
        <v>古典に出てくる亀山／旅／室町時代の旅人</v>
      </c>
      <c r="Q333" s="63"/>
      <c r="R333" s="11" t="s">
        <v>433</v>
      </c>
    </row>
    <row r="334" spans="1:18" s="6" customFormat="1" ht="44.25" customHeight="1" x14ac:dyDescent="0.15">
      <c r="A334" s="15" t="s">
        <v>681</v>
      </c>
      <c r="B334" s="15">
        <v>15</v>
      </c>
      <c r="C334" s="15" t="s">
        <v>840</v>
      </c>
      <c r="D334" s="15">
        <v>1444</v>
      </c>
      <c r="E334" s="15" t="s">
        <v>20</v>
      </c>
      <c r="F334" s="62"/>
      <c r="G334" s="62" t="s">
        <v>841</v>
      </c>
      <c r="H334" s="62" t="s">
        <v>113</v>
      </c>
      <c r="I334" s="62" t="s">
        <v>516</v>
      </c>
      <c r="J334" s="71" t="str">
        <f>HYPERLINK("http://kameyamarekihaku.jp/sisi/tuusiHP_next/kochuusei/image/05/gi.htm?pf=1173sh093.JPG&amp;?pn=%20%E7%9F%B3%E4%B8%8A%E5%AF%BA%EF%BC%88%E5%92%8C%E7%94%B0%E7%94%BA%EF%BC%89","石上寺")</f>
        <v>石上寺</v>
      </c>
      <c r="K334" s="62"/>
      <c r="L334" s="16" t="str">
        <f>HYPERLINK("http://kameyamarekihaku.jp/rekisi-hiroba/tyu-sei_monjo/web24_cyuseimonjyo/27/27.html","石室町幕府禁制（寄託石上寺文書）")</f>
        <v>石室町幕府禁制（寄託石上寺文書）</v>
      </c>
      <c r="M334" s="15"/>
      <c r="N334" s="32" t="s">
        <v>842</v>
      </c>
      <c r="O334" s="32" t="s">
        <v>687</v>
      </c>
      <c r="P334" s="33" t="str">
        <f t="shared" si="5"/>
        <v>日本の歴史の中の亀山／中世の亀山／武士の台頭と亀山／仏教の広がり／石上寺文書</v>
      </c>
      <c r="Q334" s="17" t="str">
        <f>HYPERLINK("http://kameyamarekihaku.jp/rekisi-hiroba/tyu-sei_monjo/web24_cyuseimonjyo/web24_cyuseimonjyo_indx.html","歴史広場　亀山市内にひろがる中世文書")</f>
        <v>歴史広場　亀山市内にひろがる中世文書</v>
      </c>
      <c r="R334" s="15" t="s">
        <v>843</v>
      </c>
    </row>
    <row r="335" spans="1:18" s="6" customFormat="1" ht="30" customHeight="1" x14ac:dyDescent="0.15">
      <c r="A335" s="7"/>
      <c r="B335" s="7"/>
      <c r="C335" s="7"/>
      <c r="D335" s="7"/>
      <c r="E335" s="7"/>
      <c r="F335" s="60"/>
      <c r="G335" s="60"/>
      <c r="H335" s="60"/>
      <c r="I335" s="60"/>
      <c r="J335" s="102"/>
      <c r="K335" s="60"/>
      <c r="L335" s="18"/>
      <c r="M335" s="7"/>
      <c r="N335" s="29" t="s">
        <v>689</v>
      </c>
      <c r="O335" s="29" t="s">
        <v>687</v>
      </c>
      <c r="P335" s="30" t="str">
        <f t="shared" si="5"/>
        <v>亀山のいいとこさがし／手紙や本／手紙や記録など／石上寺文書</v>
      </c>
      <c r="Q335" s="10"/>
      <c r="R335" s="7"/>
    </row>
    <row r="336" spans="1:18" s="6" customFormat="1" ht="49.5" customHeight="1" x14ac:dyDescent="0.15">
      <c r="A336" s="11" t="s">
        <v>681</v>
      </c>
      <c r="B336" s="11">
        <v>15</v>
      </c>
      <c r="C336" s="11" t="s">
        <v>844</v>
      </c>
      <c r="D336" s="11">
        <v>1448</v>
      </c>
      <c r="E336" s="11" t="s">
        <v>20</v>
      </c>
      <c r="F336" s="61"/>
      <c r="G336" s="61" t="s">
        <v>845</v>
      </c>
      <c r="H336" s="61" t="s">
        <v>846</v>
      </c>
      <c r="I336" s="61" t="s">
        <v>670</v>
      </c>
      <c r="J336" s="61"/>
      <c r="K336" s="61"/>
      <c r="L336" s="11"/>
      <c r="M336" s="11"/>
      <c r="N336" s="12" t="s">
        <v>847</v>
      </c>
      <c r="O336" s="12" t="s">
        <v>811</v>
      </c>
      <c r="P336" s="13" t="str">
        <f t="shared" si="5"/>
        <v>日本の歴史の中の亀山／中世の亀山／東アジアとのかかわり／戦国時代の亀山／応仁の乱と関氏</v>
      </c>
      <c r="Q336" s="63"/>
      <c r="R336" s="11" t="s">
        <v>848</v>
      </c>
    </row>
    <row r="337" spans="1:18" s="6" customFormat="1" x14ac:dyDescent="0.15">
      <c r="A337" s="11" t="s">
        <v>681</v>
      </c>
      <c r="B337" s="11">
        <v>15</v>
      </c>
      <c r="C337" s="11"/>
      <c r="D337" s="11"/>
      <c r="E337" s="11" t="s">
        <v>20</v>
      </c>
      <c r="F337" s="61" t="s">
        <v>849</v>
      </c>
      <c r="G337" s="61"/>
      <c r="H337" s="61"/>
      <c r="I337" s="61"/>
      <c r="J337" s="61"/>
      <c r="K337" s="61"/>
      <c r="L337" s="11"/>
      <c r="M337" s="11"/>
      <c r="N337" s="12"/>
      <c r="O337" s="12" t="e">
        <v>#VALUE!</v>
      </c>
      <c r="P337" s="13" t="str">
        <f t="shared" si="5"/>
        <v/>
      </c>
      <c r="Q337" s="63"/>
      <c r="R337" s="11"/>
    </row>
    <row r="338" spans="1:18" s="6" customFormat="1" ht="32.25" customHeight="1" x14ac:dyDescent="0.15">
      <c r="A338" s="11" t="s">
        <v>681</v>
      </c>
      <c r="B338" s="11">
        <v>15</v>
      </c>
      <c r="C338" s="11" t="s">
        <v>850</v>
      </c>
      <c r="D338" s="11">
        <v>1465</v>
      </c>
      <c r="E338" s="11" t="s">
        <v>851</v>
      </c>
      <c r="F338" s="61"/>
      <c r="G338" s="61" t="s">
        <v>852</v>
      </c>
      <c r="H338" s="61"/>
      <c r="I338" s="61"/>
      <c r="J338" s="61"/>
      <c r="K338" s="61"/>
      <c r="L338" s="11"/>
      <c r="M338" s="11"/>
      <c r="N338" s="12"/>
      <c r="O338" s="12" t="e">
        <v>#VALUE!</v>
      </c>
      <c r="P338" s="13" t="str">
        <f t="shared" si="5"/>
        <v/>
      </c>
      <c r="Q338" s="63"/>
      <c r="R338" s="11" t="s">
        <v>538</v>
      </c>
    </row>
    <row r="339" spans="1:18" s="6" customFormat="1" ht="51.75" customHeight="1" x14ac:dyDescent="0.15">
      <c r="A339" s="11" t="s">
        <v>853</v>
      </c>
      <c r="B339" s="11">
        <v>15</v>
      </c>
      <c r="C339" s="11" t="s">
        <v>854</v>
      </c>
      <c r="D339" s="11">
        <v>1467</v>
      </c>
      <c r="E339" s="11" t="s">
        <v>20</v>
      </c>
      <c r="F339" s="61" t="s">
        <v>855</v>
      </c>
      <c r="G339" s="61" t="s">
        <v>856</v>
      </c>
      <c r="H339" s="61"/>
      <c r="I339" s="61"/>
      <c r="J339" s="61"/>
      <c r="K339" s="61"/>
      <c r="L339" s="11"/>
      <c r="M339" s="11"/>
      <c r="N339" s="23" t="s">
        <v>857</v>
      </c>
      <c r="O339" s="23" t="s">
        <v>811</v>
      </c>
      <c r="P339" s="24" t="str">
        <f t="shared" si="5"/>
        <v>日本の歴史の中の亀山／中世の亀山／東アジアとのかかわり／戦国時代の亀山／応仁の乱と関氏</v>
      </c>
      <c r="Q339" s="25" t="str">
        <f>HYPERLINK("http:/kameyamarekihaku.jp/sisi/tuusiHP_next/tuusi-index.html#kochuusei0801","市史通史編 原始・古代・中世第8章第1節")</f>
        <v>市史通史編 原始・古代・中世第8章第1節</v>
      </c>
      <c r="R339" s="11" t="s">
        <v>433</v>
      </c>
    </row>
    <row r="340" spans="1:18" s="6" customFormat="1" ht="40.5" x14ac:dyDescent="0.15">
      <c r="A340" s="11" t="s">
        <v>853</v>
      </c>
      <c r="B340" s="11">
        <v>15</v>
      </c>
      <c r="C340" s="11" t="s">
        <v>858</v>
      </c>
      <c r="D340" s="11">
        <v>1472</v>
      </c>
      <c r="E340" s="11" t="s">
        <v>20</v>
      </c>
      <c r="F340" s="61"/>
      <c r="G340" s="61" t="s">
        <v>859</v>
      </c>
      <c r="H340" s="61" t="s">
        <v>464</v>
      </c>
      <c r="I340" s="61" t="s">
        <v>394</v>
      </c>
      <c r="J340" s="115" t="s">
        <v>779</v>
      </c>
      <c r="K340" s="61"/>
      <c r="L340" s="11" t="s">
        <v>860</v>
      </c>
      <c r="M340" s="11"/>
      <c r="N340" s="12"/>
      <c r="O340" s="12" t="e">
        <v>#VALUE!</v>
      </c>
      <c r="P340" s="13" t="str">
        <f t="shared" si="5"/>
        <v/>
      </c>
      <c r="Q340" s="63"/>
      <c r="R340" s="11" t="s">
        <v>715</v>
      </c>
    </row>
    <row r="341" spans="1:18" s="6" customFormat="1" ht="40.5" x14ac:dyDescent="0.15">
      <c r="A341" s="11" t="s">
        <v>853</v>
      </c>
      <c r="B341" s="11">
        <v>15</v>
      </c>
      <c r="C341" s="11" t="s">
        <v>861</v>
      </c>
      <c r="D341" s="11">
        <v>1482</v>
      </c>
      <c r="E341" s="11" t="s">
        <v>20</v>
      </c>
      <c r="F341" s="61"/>
      <c r="G341" s="61" t="s">
        <v>862</v>
      </c>
      <c r="H341" s="61"/>
      <c r="I341" s="61"/>
      <c r="J341" s="61"/>
      <c r="K341" s="61"/>
      <c r="L341" s="11" t="s">
        <v>863</v>
      </c>
      <c r="M341" s="11"/>
      <c r="N341" s="12"/>
      <c r="O341" s="12" t="e">
        <v>#VALUE!</v>
      </c>
      <c r="P341" s="13" t="str">
        <f t="shared" si="5"/>
        <v/>
      </c>
      <c r="Q341" s="63"/>
      <c r="R341" s="11" t="s">
        <v>864</v>
      </c>
    </row>
    <row r="342" spans="1:18" s="6" customFormat="1" ht="18" customHeight="1" x14ac:dyDescent="0.15">
      <c r="A342" s="298" t="s">
        <v>853</v>
      </c>
      <c r="B342" s="15">
        <v>15</v>
      </c>
      <c r="C342" s="15"/>
      <c r="D342" s="15"/>
      <c r="E342" s="15" t="s">
        <v>34</v>
      </c>
      <c r="F342" s="327" t="s">
        <v>865</v>
      </c>
      <c r="G342" s="62"/>
      <c r="H342" s="62"/>
      <c r="I342" s="62"/>
      <c r="J342" s="62"/>
      <c r="K342" s="62"/>
      <c r="L342" s="16" t="str">
        <f>HYPERLINK("http://kameyamarekihaku.jp/sisi/koukoHP/archives/syouhoujideibutu/01/01-01/gi.html?pf=SWS0101-008.JPG&amp;pn=%E5%A4%A9%E7%9B%AE%E8%8C%B6%E7%A2%97","天目茶碗（正法寺山荘跡）")</f>
        <v>天目茶碗（正法寺山荘跡）</v>
      </c>
      <c r="M342" s="15"/>
      <c r="N342" s="310" t="s">
        <v>866</v>
      </c>
      <c r="O342" s="310" t="s">
        <v>867</v>
      </c>
      <c r="P342" s="311" t="str">
        <f t="shared" si="5"/>
        <v>日本の歴史の中の亀山／中世の亀山／東アジアとのかかわり／室町時代の文化と亀山</v>
      </c>
      <c r="Q342" s="17" t="str">
        <f>HYPERLINK("http:/kameyamarekihaku.jp/sisi/KoukoHP/koramu-ougon.html","コラム　黄金の茶碗")</f>
        <v>コラム　黄金の茶碗</v>
      </c>
      <c r="R342" s="298" t="s">
        <v>868</v>
      </c>
    </row>
    <row r="343" spans="1:18" s="6" customFormat="1" ht="25.5" customHeight="1" x14ac:dyDescent="0.15">
      <c r="A343" s="299"/>
      <c r="B343" s="7"/>
      <c r="C343" s="7"/>
      <c r="D343" s="7"/>
      <c r="E343" s="7"/>
      <c r="F343" s="329"/>
      <c r="G343" s="60"/>
      <c r="H343" s="60"/>
      <c r="I343" s="60"/>
      <c r="J343" s="60"/>
      <c r="K343" s="60"/>
      <c r="L343" s="116" t="s">
        <v>869</v>
      </c>
      <c r="M343" s="7"/>
      <c r="N343" s="306"/>
      <c r="O343" s="306" t="e">
        <v>#VALUE!</v>
      </c>
      <c r="P343" s="308" t="str">
        <f t="shared" si="5"/>
        <v/>
      </c>
      <c r="Q343" s="65"/>
      <c r="R343" s="299"/>
    </row>
    <row r="344" spans="1:18" s="6" customFormat="1" ht="40.5" x14ac:dyDescent="0.15">
      <c r="A344" s="11" t="s">
        <v>853</v>
      </c>
      <c r="B344" s="11">
        <v>15</v>
      </c>
      <c r="C344" s="11" t="s">
        <v>870</v>
      </c>
      <c r="D344" s="11">
        <v>1489</v>
      </c>
      <c r="E344" s="11" t="s">
        <v>34</v>
      </c>
      <c r="F344" s="61" t="s">
        <v>871</v>
      </c>
      <c r="G344" s="61"/>
      <c r="H344" s="61"/>
      <c r="I344" s="61"/>
      <c r="J344" s="61"/>
      <c r="K344" s="61"/>
      <c r="L344" s="11"/>
      <c r="M344" s="11"/>
      <c r="N344" s="12"/>
      <c r="O344" s="12" t="e">
        <v>#VALUE!</v>
      </c>
      <c r="P344" s="13" t="str">
        <f t="shared" si="5"/>
        <v/>
      </c>
      <c r="Q344" s="63"/>
      <c r="R344" s="11"/>
    </row>
    <row r="345" spans="1:18" s="6" customFormat="1" ht="40.5" x14ac:dyDescent="0.15">
      <c r="A345" s="11" t="s">
        <v>853</v>
      </c>
      <c r="B345" s="11">
        <v>15</v>
      </c>
      <c r="C345" s="11" t="s">
        <v>872</v>
      </c>
      <c r="D345" s="11">
        <v>1495</v>
      </c>
      <c r="E345" s="11" t="s">
        <v>34</v>
      </c>
      <c r="F345" s="61"/>
      <c r="G345" s="61" t="s">
        <v>873</v>
      </c>
      <c r="H345" s="61"/>
      <c r="I345" s="61"/>
      <c r="J345" s="61"/>
      <c r="K345" s="61" t="s">
        <v>874</v>
      </c>
      <c r="L345" s="11"/>
      <c r="M345" s="11"/>
      <c r="N345" s="12" t="s">
        <v>875</v>
      </c>
      <c r="O345" s="12" t="s">
        <v>801</v>
      </c>
      <c r="P345" s="13" t="str">
        <f t="shared" si="5"/>
        <v>古典に出てくる亀山／旅／室町時代の旅人</v>
      </c>
      <c r="Q345" s="63"/>
      <c r="R345" s="11" t="s">
        <v>538</v>
      </c>
    </row>
    <row r="346" spans="1:18" s="6" customFormat="1" ht="40.5" x14ac:dyDescent="0.15">
      <c r="A346" s="11" t="s">
        <v>853</v>
      </c>
      <c r="B346" s="11">
        <v>15</v>
      </c>
      <c r="C346" s="11" t="s">
        <v>876</v>
      </c>
      <c r="D346" s="11">
        <v>1498</v>
      </c>
      <c r="E346" s="11" t="s">
        <v>20</v>
      </c>
      <c r="F346" s="61"/>
      <c r="G346" s="61" t="s">
        <v>877</v>
      </c>
      <c r="H346" s="61"/>
      <c r="I346" s="61"/>
      <c r="J346" s="61"/>
      <c r="K346" s="61"/>
      <c r="M346" s="11"/>
      <c r="N346" s="12" t="s">
        <v>878</v>
      </c>
      <c r="O346" s="12" t="s">
        <v>836</v>
      </c>
      <c r="P346" s="13" t="str">
        <f t="shared" si="5"/>
        <v>亀山のむかしばなし／こわいはなし／大地震の話／亀山の大地震</v>
      </c>
      <c r="Q346" s="63"/>
      <c r="R346" s="11" t="s">
        <v>879</v>
      </c>
    </row>
    <row r="347" spans="1:18" s="6" customFormat="1" ht="40.5" x14ac:dyDescent="0.15">
      <c r="A347" s="11" t="s">
        <v>853</v>
      </c>
      <c r="B347" s="11">
        <v>15</v>
      </c>
      <c r="C347" s="11" t="s">
        <v>880</v>
      </c>
      <c r="D347" s="11">
        <v>1499</v>
      </c>
      <c r="E347" s="11" t="s">
        <v>881</v>
      </c>
      <c r="F347" s="61"/>
      <c r="G347" s="61" t="s">
        <v>882</v>
      </c>
      <c r="H347" s="61"/>
      <c r="I347" s="61"/>
      <c r="J347" s="61"/>
      <c r="K347" s="61" t="s">
        <v>874</v>
      </c>
      <c r="L347" s="11"/>
      <c r="M347" s="11"/>
      <c r="N347" s="12" t="s">
        <v>875</v>
      </c>
      <c r="O347" s="12" t="s">
        <v>801</v>
      </c>
      <c r="P347" s="13" t="str">
        <f t="shared" si="5"/>
        <v>古典に出てくる亀山／旅／室町時代の旅人</v>
      </c>
      <c r="Q347" s="63"/>
      <c r="R347" s="11" t="s">
        <v>538</v>
      </c>
    </row>
    <row r="348" spans="1:18" s="6" customFormat="1" ht="40.5" x14ac:dyDescent="0.15">
      <c r="A348" s="11" t="s">
        <v>853</v>
      </c>
      <c r="B348" s="11">
        <v>15</v>
      </c>
      <c r="C348" s="11"/>
      <c r="D348" s="11"/>
      <c r="E348" s="11" t="s">
        <v>20</v>
      </c>
      <c r="F348" s="61" t="s">
        <v>883</v>
      </c>
      <c r="G348" s="61"/>
      <c r="H348" s="61"/>
      <c r="I348" s="61"/>
      <c r="J348" s="61"/>
      <c r="K348" s="61"/>
      <c r="L348" s="11"/>
      <c r="M348" s="11"/>
      <c r="N348" s="12"/>
      <c r="O348" s="12" t="e">
        <v>#VALUE!</v>
      </c>
      <c r="P348" s="13" t="str">
        <f t="shared" si="5"/>
        <v/>
      </c>
      <c r="Q348" s="63"/>
      <c r="R348" s="11"/>
    </row>
    <row r="349" spans="1:18" s="6" customFormat="1" ht="45.75" customHeight="1" x14ac:dyDescent="0.15">
      <c r="A349" s="15" t="s">
        <v>853</v>
      </c>
      <c r="B349" s="15">
        <v>16</v>
      </c>
      <c r="C349" s="15" t="s">
        <v>884</v>
      </c>
      <c r="D349" s="15">
        <v>1505</v>
      </c>
      <c r="E349" s="15" t="s">
        <v>34</v>
      </c>
      <c r="F349" s="62"/>
      <c r="G349" s="62" t="s">
        <v>885</v>
      </c>
      <c r="H349" s="62" t="s">
        <v>199</v>
      </c>
      <c r="I349" s="62" t="s">
        <v>622</v>
      </c>
      <c r="J349" s="71" t="str">
        <f>HYPERLINK("http://kameyamarekihaku.jp/sisi/tuusiHP_next/kochuusei/image/06/gi.htm?pf=1195sh103.JPG&amp;?pn=%E6%AD%A3%E6%B3%95%E5%AF%BA%E5%B1%B1%E8%8D%98%E8%B7%A1%E7%8F%BE%E6%B3%81","正法寺山荘跡")</f>
        <v>正法寺山荘跡</v>
      </c>
      <c r="K349" s="62" t="s">
        <v>886</v>
      </c>
      <c r="L349" s="16" t="str">
        <f>HYPERLINK("http://kameyamarekihaku.jp/sisi/koukoHP/archives/syouhoujideibutu/01/01-01/SWS0101.html","正法寺山荘跡出土品（瓦・天目茶碗・石塔部材・犬形土製品）")</f>
        <v>正法寺山荘跡出土品（瓦・天目茶碗・石塔部材・犬形土製品）</v>
      </c>
      <c r="M349" s="71"/>
      <c r="N349" s="19" t="s">
        <v>887</v>
      </c>
      <c r="O349" s="19" t="s">
        <v>888</v>
      </c>
      <c r="P349" s="20" t="str">
        <f t="shared" si="5"/>
        <v>日本の歴史の中の亀山／中世の亀山／東アジアとのかかわり／室町時代の文化と亀山／正法寺山荘と人々の交流</v>
      </c>
      <c r="Q349" s="21" t="str">
        <f>HYPERLINK("http:/kameyamarekihaku.jp/sisi/KoukoHP/iseki.html","市史考古編遺跡一覧N0.51")</f>
        <v>市史考古編遺跡一覧N0.51</v>
      </c>
      <c r="R349" s="298" t="s">
        <v>889</v>
      </c>
    </row>
    <row r="350" spans="1:18" s="6" customFormat="1" ht="47.25" customHeight="1" x14ac:dyDescent="0.15">
      <c r="A350" s="7"/>
      <c r="B350" s="7"/>
      <c r="C350" s="7"/>
      <c r="D350" s="7"/>
      <c r="E350" s="7"/>
      <c r="F350" s="60"/>
      <c r="G350" s="60"/>
      <c r="H350" s="60"/>
      <c r="I350" s="60"/>
      <c r="J350" s="102"/>
      <c r="K350" s="60"/>
      <c r="L350" s="18"/>
      <c r="M350" s="102"/>
      <c r="N350" s="29" t="s">
        <v>624</v>
      </c>
      <c r="O350" s="29" t="s">
        <v>625</v>
      </c>
      <c r="P350" s="30" t="str">
        <f t="shared" si="5"/>
        <v>亀山のいいとこさがし／景色のよいところや歴史を知る手掛かりとなるもの／歴史上の場所／正法寺山荘跡</v>
      </c>
      <c r="Q350" s="10"/>
      <c r="R350" s="299"/>
    </row>
    <row r="351" spans="1:18" s="6" customFormat="1" ht="40.5" x14ac:dyDescent="0.15">
      <c r="A351" s="11" t="s">
        <v>853</v>
      </c>
      <c r="B351" s="11">
        <v>16</v>
      </c>
      <c r="C351" s="11" t="s">
        <v>890</v>
      </c>
      <c r="D351" s="11">
        <v>1506</v>
      </c>
      <c r="E351" s="11" t="s">
        <v>20</v>
      </c>
      <c r="F351" s="61"/>
      <c r="G351" s="61" t="s">
        <v>891</v>
      </c>
      <c r="H351" s="61"/>
      <c r="I351" s="61"/>
      <c r="J351" s="61"/>
      <c r="K351" s="61" t="s">
        <v>892</v>
      </c>
      <c r="L351" s="11"/>
      <c r="M351" s="11"/>
      <c r="N351" s="12"/>
      <c r="O351" s="12" t="e">
        <v>#VALUE!</v>
      </c>
      <c r="P351" s="13" t="str">
        <f t="shared" si="5"/>
        <v/>
      </c>
      <c r="Q351" s="63"/>
      <c r="R351" s="11" t="s">
        <v>538</v>
      </c>
    </row>
    <row r="352" spans="1:18" s="6" customFormat="1" ht="40.5" x14ac:dyDescent="0.15">
      <c r="A352" s="11" t="s">
        <v>853</v>
      </c>
      <c r="B352" s="11">
        <v>16</v>
      </c>
      <c r="C352" s="11" t="s">
        <v>893</v>
      </c>
      <c r="D352" s="11">
        <v>1513</v>
      </c>
      <c r="E352" s="11" t="s">
        <v>851</v>
      </c>
      <c r="F352" s="11"/>
      <c r="G352" s="11" t="s">
        <v>894</v>
      </c>
      <c r="H352" s="11"/>
      <c r="I352" s="11"/>
      <c r="J352" s="11"/>
      <c r="K352" s="11" t="s">
        <v>895</v>
      </c>
      <c r="L352" s="11"/>
      <c r="M352" s="11"/>
      <c r="N352" s="12" t="s">
        <v>875</v>
      </c>
      <c r="O352" s="12" t="s">
        <v>801</v>
      </c>
      <c r="P352" s="13" t="str">
        <f t="shared" si="5"/>
        <v>古典に出てくる亀山／旅／室町時代の旅人</v>
      </c>
      <c r="Q352" s="14"/>
      <c r="R352" s="11" t="s">
        <v>896</v>
      </c>
    </row>
    <row r="353" spans="1:18" s="6" customFormat="1" ht="40.5" x14ac:dyDescent="0.15">
      <c r="A353" s="15" t="s">
        <v>853</v>
      </c>
      <c r="B353" s="15">
        <v>16</v>
      </c>
      <c r="C353" s="15" t="s">
        <v>897</v>
      </c>
      <c r="D353" s="15">
        <v>1522</v>
      </c>
      <c r="E353" s="15" t="s">
        <v>851</v>
      </c>
      <c r="F353" s="62"/>
      <c r="G353" s="62" t="s">
        <v>898</v>
      </c>
      <c r="H353" s="62"/>
      <c r="I353" s="62"/>
      <c r="J353" s="62"/>
      <c r="K353" s="62" t="s">
        <v>899</v>
      </c>
      <c r="L353" s="15"/>
      <c r="M353" s="15"/>
      <c r="N353" s="34" t="s">
        <v>900</v>
      </c>
      <c r="O353" s="34" t="s">
        <v>901</v>
      </c>
      <c r="P353" s="35" t="str">
        <f t="shared" si="5"/>
        <v>亀山城と宿場／亀山城下町／亀山城の前にあったまち</v>
      </c>
      <c r="Q353" s="83"/>
      <c r="R353" s="15" t="s">
        <v>902</v>
      </c>
    </row>
    <row r="354" spans="1:18" s="6" customFormat="1" ht="34.5" customHeight="1" x14ac:dyDescent="0.15">
      <c r="A354" s="7"/>
      <c r="B354" s="7"/>
      <c r="C354" s="7"/>
      <c r="D354" s="7"/>
      <c r="E354" s="7"/>
      <c r="F354" s="60"/>
      <c r="G354" s="60"/>
      <c r="H354" s="60"/>
      <c r="I354" s="60"/>
      <c r="J354" s="60"/>
      <c r="K354" s="60"/>
      <c r="L354" s="7"/>
      <c r="M354" s="7"/>
      <c r="N354" s="86" t="s">
        <v>875</v>
      </c>
      <c r="O354" s="86" t="s">
        <v>801</v>
      </c>
      <c r="P354" s="87" t="str">
        <f t="shared" si="5"/>
        <v>古典に出てくる亀山／旅／室町時代の旅人</v>
      </c>
      <c r="Q354" s="65"/>
      <c r="R354" s="7"/>
    </row>
    <row r="355" spans="1:18" s="6" customFormat="1" ht="34.5" customHeight="1" x14ac:dyDescent="0.15">
      <c r="A355" s="15" t="s">
        <v>853</v>
      </c>
      <c r="B355" s="15">
        <v>16</v>
      </c>
      <c r="C355" s="15" t="s">
        <v>903</v>
      </c>
      <c r="D355" s="15">
        <v>1524</v>
      </c>
      <c r="E355" s="15" t="s">
        <v>34</v>
      </c>
      <c r="F355" s="62"/>
      <c r="G355" s="327" t="s">
        <v>904</v>
      </c>
      <c r="H355" s="62" t="s">
        <v>199</v>
      </c>
      <c r="I355" s="62" t="s">
        <v>622</v>
      </c>
      <c r="J355" s="71" t="str">
        <f>HYPERLINK("http://kameyamarekihaku.jp/sisi/tuusiHP_next/kochuusei/image/06/gi.htm?pf=1195sh103.JPG&amp;?pn=%E6%AD%A3%E6%B3%95%E5%AF%BA%E5%B1%B1%E8%8D%98%E8%B7%A1%E7%8F%BE%E6%B3%81","正法寺山荘跡")</f>
        <v>正法寺山荘跡</v>
      </c>
      <c r="K355" s="62" t="s">
        <v>905</v>
      </c>
      <c r="L355" s="15"/>
      <c r="M355" s="71"/>
      <c r="N355" s="32" t="s">
        <v>906</v>
      </c>
      <c r="O355" s="32" t="s">
        <v>901</v>
      </c>
      <c r="P355" s="33" t="str">
        <f t="shared" si="5"/>
        <v>亀山城と宿場／亀山城下町／亀山城の前にあったまち</v>
      </c>
      <c r="Q355" s="17" t="str">
        <f>HYPERLINK("http:/kameyamarekihaku.jp/sisi/KoukoHP/iseki.html","市史考古編遺跡一覧N0.51")</f>
        <v>市史考古編遺跡一覧N0.51</v>
      </c>
      <c r="R355" s="298" t="s">
        <v>889</v>
      </c>
    </row>
    <row r="356" spans="1:18" s="6" customFormat="1" ht="48.75" customHeight="1" x14ac:dyDescent="0.15">
      <c r="A356" s="26"/>
      <c r="B356" s="26"/>
      <c r="C356" s="26"/>
      <c r="D356" s="26"/>
      <c r="E356" s="26"/>
      <c r="F356" s="59"/>
      <c r="G356" s="328"/>
      <c r="H356" s="59"/>
      <c r="I356" s="59"/>
      <c r="J356" s="76"/>
      <c r="K356" s="59"/>
      <c r="L356" s="26"/>
      <c r="M356" s="76"/>
      <c r="N356" s="19" t="s">
        <v>887</v>
      </c>
      <c r="O356" s="19" t="s">
        <v>888</v>
      </c>
      <c r="P356" s="20" t="str">
        <f t="shared" si="5"/>
        <v>日本の歴史の中の亀山／中世の亀山／東アジアとのかかわり／室町時代の文化と亀山／正法寺山荘と人々の交流</v>
      </c>
      <c r="Q356" s="21"/>
      <c r="R356" s="316"/>
    </row>
    <row r="357" spans="1:18" s="6" customFormat="1" ht="48.75" customHeight="1" x14ac:dyDescent="0.15">
      <c r="A357" s="7"/>
      <c r="B357" s="7"/>
      <c r="C357" s="7"/>
      <c r="D357" s="7"/>
      <c r="E357" s="7"/>
      <c r="F357" s="60"/>
      <c r="G357" s="65"/>
      <c r="H357" s="60"/>
      <c r="I357" s="60"/>
      <c r="J357" s="102"/>
      <c r="K357" s="60"/>
      <c r="L357" s="7"/>
      <c r="M357" s="102"/>
      <c r="N357" s="29" t="s">
        <v>624</v>
      </c>
      <c r="O357" s="29" t="s">
        <v>625</v>
      </c>
      <c r="P357" s="30" t="str">
        <f t="shared" si="5"/>
        <v>亀山のいいとこさがし／景色のよいところや歴史を知る手掛かりとなるもの／歴史上の場所／正法寺山荘跡</v>
      </c>
      <c r="Q357" s="10"/>
      <c r="R357" s="9"/>
    </row>
    <row r="358" spans="1:18" s="6" customFormat="1" ht="42.75" customHeight="1" x14ac:dyDescent="0.15">
      <c r="A358" s="7" t="s">
        <v>853</v>
      </c>
      <c r="B358" s="7">
        <v>16</v>
      </c>
      <c r="C358" s="7" t="s">
        <v>907</v>
      </c>
      <c r="D358" s="7">
        <v>1527</v>
      </c>
      <c r="E358" s="7" t="s">
        <v>34</v>
      </c>
      <c r="F358" s="60"/>
      <c r="G358" s="60" t="s">
        <v>908</v>
      </c>
      <c r="H358" s="60" t="s">
        <v>199</v>
      </c>
      <c r="I358" s="60" t="s">
        <v>622</v>
      </c>
      <c r="J358" s="102" t="str">
        <f>HYPERLINK("http://kameyamarekihaku.jp/sisi/tuusiHP_next/kochuusei/image/06/gi.htm?pf=1195sh103.JPG&amp;?pn=%E6%AD%A3%E6%B3%95%E5%AF%BA%E5%B1%B1%E8%8D%98%E8%B7%A1%E7%8F%BE%E6%B3%81","正法寺山荘跡")</f>
        <v>正法寺山荘跡</v>
      </c>
      <c r="K358" s="60" t="s">
        <v>905</v>
      </c>
      <c r="L358" s="7"/>
      <c r="M358" s="102"/>
      <c r="N358" s="19" t="s">
        <v>906</v>
      </c>
      <c r="O358" s="19" t="s">
        <v>901</v>
      </c>
      <c r="P358" s="20" t="str">
        <f t="shared" si="5"/>
        <v>亀山城と宿場／亀山城下町／亀山城の前にあったまち</v>
      </c>
      <c r="Q358" s="21" t="str">
        <f>HYPERLINK("http:/kameyamarekihaku.jp/sisi/KoukoHP/iseki.html","市史考古編遺跡一覧N0.51")</f>
        <v>市史考古編遺跡一覧N0.51</v>
      </c>
      <c r="R358" s="7" t="s">
        <v>909</v>
      </c>
    </row>
    <row r="359" spans="1:18" s="6" customFormat="1" ht="40.5" x14ac:dyDescent="0.15">
      <c r="A359" s="11" t="s">
        <v>853</v>
      </c>
      <c r="B359" s="11">
        <v>16</v>
      </c>
      <c r="C359" s="11" t="s">
        <v>907</v>
      </c>
      <c r="D359" s="11">
        <v>1527</v>
      </c>
      <c r="E359" s="11" t="s">
        <v>20</v>
      </c>
      <c r="F359" s="61"/>
      <c r="G359" s="61" t="s">
        <v>910</v>
      </c>
      <c r="H359" s="61"/>
      <c r="I359" s="61"/>
      <c r="J359" s="61"/>
      <c r="K359" s="61" t="s">
        <v>911</v>
      </c>
      <c r="L359" s="11"/>
      <c r="M359" s="11"/>
      <c r="N359" s="12"/>
      <c r="O359" s="12" t="e">
        <v>#VALUE!</v>
      </c>
      <c r="P359" s="13" t="str">
        <f t="shared" si="5"/>
        <v/>
      </c>
      <c r="Q359" s="63"/>
      <c r="R359" s="11" t="s">
        <v>538</v>
      </c>
    </row>
    <row r="360" spans="1:18" s="6" customFormat="1" ht="40.5" x14ac:dyDescent="0.15">
      <c r="A360" s="11" t="s">
        <v>853</v>
      </c>
      <c r="B360" s="11">
        <v>16</v>
      </c>
      <c r="C360" s="11" t="s">
        <v>912</v>
      </c>
      <c r="D360" s="11">
        <v>1543</v>
      </c>
      <c r="E360" s="11" t="s">
        <v>913</v>
      </c>
      <c r="F360" s="61" t="s">
        <v>914</v>
      </c>
      <c r="G360" s="61"/>
      <c r="H360" s="61"/>
      <c r="I360" s="61"/>
      <c r="J360" s="61"/>
      <c r="K360" s="61"/>
      <c r="L360" s="11" t="s">
        <v>915</v>
      </c>
      <c r="M360" s="11"/>
      <c r="N360" s="12"/>
      <c r="O360" s="12" t="e">
        <v>#VALUE!</v>
      </c>
      <c r="P360" s="13" t="str">
        <f t="shared" si="5"/>
        <v/>
      </c>
      <c r="Q360" s="63"/>
      <c r="R360" s="11"/>
    </row>
    <row r="361" spans="1:18" s="6" customFormat="1" ht="40.5" x14ac:dyDescent="0.15">
      <c r="A361" s="11" t="s">
        <v>853</v>
      </c>
      <c r="B361" s="11">
        <v>16</v>
      </c>
      <c r="C361" s="11" t="s">
        <v>916</v>
      </c>
      <c r="D361" s="11">
        <v>1549</v>
      </c>
      <c r="E361" s="11" t="s">
        <v>59</v>
      </c>
      <c r="F361" s="61" t="s">
        <v>917</v>
      </c>
      <c r="G361" s="61"/>
      <c r="H361" s="61"/>
      <c r="I361" s="61"/>
      <c r="J361" s="61"/>
      <c r="K361" s="61"/>
      <c r="L361" s="11"/>
      <c r="M361" s="11"/>
      <c r="N361" s="12"/>
      <c r="O361" s="12" t="e">
        <v>#VALUE!</v>
      </c>
      <c r="P361" s="13" t="str">
        <f t="shared" si="5"/>
        <v/>
      </c>
      <c r="Q361" s="63"/>
      <c r="R361" s="11"/>
    </row>
    <row r="362" spans="1:18" s="6" customFormat="1" ht="35.25" customHeight="1" x14ac:dyDescent="0.15">
      <c r="A362" s="298" t="s">
        <v>853</v>
      </c>
      <c r="B362" s="15">
        <v>16</v>
      </c>
      <c r="C362" s="15" t="s">
        <v>918</v>
      </c>
      <c r="D362" s="15">
        <v>1553</v>
      </c>
      <c r="E362" s="15" t="s">
        <v>851</v>
      </c>
      <c r="F362" s="62"/>
      <c r="G362" s="62" t="s">
        <v>919</v>
      </c>
      <c r="H362" s="62" t="s">
        <v>199</v>
      </c>
      <c r="I362" s="62" t="s">
        <v>657</v>
      </c>
      <c r="J362" s="117" t="s">
        <v>920</v>
      </c>
      <c r="K362" s="62" t="s">
        <v>921</v>
      </c>
      <c r="L362" s="15"/>
      <c r="M362" s="15"/>
      <c r="N362" s="34" t="s">
        <v>922</v>
      </c>
      <c r="O362" s="34" t="s">
        <v>923</v>
      </c>
      <c r="P362" s="35" t="str">
        <f t="shared" si="5"/>
        <v>むかしの道と交通／亀山の近世の道</v>
      </c>
      <c r="Q362" s="83"/>
      <c r="R362" s="15" t="s">
        <v>538</v>
      </c>
    </row>
    <row r="363" spans="1:18" s="6" customFormat="1" ht="21" customHeight="1" x14ac:dyDescent="0.15">
      <c r="A363" s="316"/>
      <c r="B363" s="26"/>
      <c r="C363" s="26"/>
      <c r="D363" s="26"/>
      <c r="E363" s="26"/>
      <c r="F363" s="59"/>
      <c r="G363" s="59"/>
      <c r="H363" s="59"/>
      <c r="I363" s="59"/>
      <c r="J363" s="115"/>
      <c r="K363" s="59"/>
      <c r="L363" s="26"/>
      <c r="M363" s="26"/>
      <c r="N363" s="84" t="s">
        <v>924</v>
      </c>
      <c r="O363" s="84" t="s">
        <v>925</v>
      </c>
      <c r="P363" s="85" t="str">
        <f t="shared" si="5"/>
        <v>亀山城と宿場／４つの宿場</v>
      </c>
      <c r="Q363" s="70"/>
      <c r="R363" s="26"/>
    </row>
    <row r="364" spans="1:18" s="6" customFormat="1" ht="36.75" customHeight="1" x14ac:dyDescent="0.15">
      <c r="A364" s="299"/>
      <c r="B364" s="7"/>
      <c r="C364" s="7"/>
      <c r="D364" s="7"/>
      <c r="E364" s="7"/>
      <c r="F364" s="60"/>
      <c r="G364" s="60"/>
      <c r="H364" s="60"/>
      <c r="I364" s="60"/>
      <c r="J364" s="118"/>
      <c r="K364" s="60"/>
      <c r="L364" s="7"/>
      <c r="M364" s="7"/>
      <c r="N364" s="86" t="s">
        <v>800</v>
      </c>
      <c r="O364" s="86" t="s">
        <v>801</v>
      </c>
      <c r="P364" s="87" t="str">
        <f t="shared" si="5"/>
        <v>古典に出てくる亀山／旅／室町時代の旅人</v>
      </c>
      <c r="Q364" s="65"/>
      <c r="R364" s="7"/>
    </row>
    <row r="365" spans="1:18" s="6" customFormat="1" ht="45.75" customHeight="1" x14ac:dyDescent="0.15">
      <c r="A365" s="11" t="s">
        <v>853</v>
      </c>
      <c r="B365" s="11">
        <v>16</v>
      </c>
      <c r="C365" s="11"/>
      <c r="D365" s="11"/>
      <c r="E365" s="11" t="s">
        <v>20</v>
      </c>
      <c r="F365" s="61" t="s">
        <v>926</v>
      </c>
      <c r="G365" s="61"/>
      <c r="H365" s="61"/>
      <c r="I365" s="61"/>
      <c r="J365" s="61"/>
      <c r="K365" s="61"/>
      <c r="L365" s="11"/>
      <c r="M365" s="11"/>
      <c r="N365" s="23" t="s">
        <v>927</v>
      </c>
      <c r="O365" s="23" t="s">
        <v>928</v>
      </c>
      <c r="P365" s="24" t="str">
        <f t="shared" si="5"/>
        <v>日本の歴史の中の亀山／中世の亀山／東アジアとのかかわり／戦乱の亀山</v>
      </c>
      <c r="Q365" s="25" t="str">
        <f>HYPERLINK("http:/kameyamarekihaku.jp/sisi/tuusiHP_next/tuusi-index.html#kochuusei0901","市史通史編 原始・古代・中世第9章第1節")</f>
        <v>市史通史編 原始・古代・中世第9章第1節</v>
      </c>
      <c r="R365" s="11" t="s">
        <v>83</v>
      </c>
    </row>
    <row r="366" spans="1:18" s="6" customFormat="1" ht="30" customHeight="1" x14ac:dyDescent="0.15">
      <c r="A366" s="15" t="s">
        <v>853</v>
      </c>
      <c r="B366" s="15">
        <v>16</v>
      </c>
      <c r="C366" s="15" t="s">
        <v>929</v>
      </c>
      <c r="D366" s="15">
        <v>1567</v>
      </c>
      <c r="E366" s="15" t="s">
        <v>224</v>
      </c>
      <c r="F366" s="62"/>
      <c r="G366" s="327" t="s">
        <v>930</v>
      </c>
      <c r="H366" s="62" t="s">
        <v>199</v>
      </c>
      <c r="I366" s="62" t="s">
        <v>622</v>
      </c>
      <c r="J366" s="71" t="str">
        <f>HYPERLINK("http://kameyamarekihaku.jp/sisi/tuusiHP_next/kochuusei/image/06/gi.htm?pf=1195sh103.JPG&amp;?pn=%E6%AD%A3%E6%B3%95%E5%AF%BA%E5%B1%B1%E8%8D%98%E8%B7%A1%E7%8F%BE%E6%B3%81","正法寺山荘跡")</f>
        <v>正法寺山荘跡</v>
      </c>
      <c r="K366" s="62" t="s">
        <v>931</v>
      </c>
      <c r="L366" s="15"/>
      <c r="M366" s="71"/>
      <c r="N366" s="19" t="s">
        <v>800</v>
      </c>
      <c r="O366" s="19" t="s">
        <v>801</v>
      </c>
      <c r="P366" s="20" t="str">
        <f t="shared" si="5"/>
        <v>古典に出てくる亀山／旅／室町時代の旅人</v>
      </c>
      <c r="Q366" s="21" t="str">
        <f>HYPERLINK("http:/kameyamarekihaku.jp/sisi/KoukoHP/iseki.html","市史考古編遺跡一覧N0.51")</f>
        <v>市史考古編遺跡一覧N0.51</v>
      </c>
      <c r="R366" s="298" t="s">
        <v>909</v>
      </c>
    </row>
    <row r="367" spans="1:18" s="6" customFormat="1" ht="48.75" customHeight="1" x14ac:dyDescent="0.15">
      <c r="A367" s="26"/>
      <c r="B367" s="26"/>
      <c r="C367" s="26"/>
      <c r="D367" s="26"/>
      <c r="E367" s="26"/>
      <c r="F367" s="59"/>
      <c r="G367" s="328"/>
      <c r="H367" s="59"/>
      <c r="I367" s="59"/>
      <c r="J367" s="76"/>
      <c r="K367" s="59"/>
      <c r="L367" s="26"/>
      <c r="M367" s="76"/>
      <c r="N367" s="19" t="s">
        <v>887</v>
      </c>
      <c r="O367" s="19" t="s">
        <v>888</v>
      </c>
      <c r="P367" s="20" t="str">
        <f t="shared" si="5"/>
        <v>日本の歴史の中の亀山／中世の亀山／東アジアとのかかわり／室町時代の文化と亀山／正法寺山荘と人々の交流</v>
      </c>
      <c r="Q367" s="21"/>
      <c r="R367" s="316"/>
    </row>
    <row r="368" spans="1:18" s="6" customFormat="1" ht="20.25" customHeight="1" x14ac:dyDescent="0.15">
      <c r="A368" s="26"/>
      <c r="B368" s="26"/>
      <c r="C368" s="26"/>
      <c r="D368" s="26"/>
      <c r="E368" s="26"/>
      <c r="F368" s="59"/>
      <c r="G368" s="70"/>
      <c r="H368" s="59"/>
      <c r="I368" s="59"/>
      <c r="J368" s="76"/>
      <c r="K368" s="59"/>
      <c r="L368" s="26"/>
      <c r="M368" s="76"/>
      <c r="N368" s="19" t="s">
        <v>932</v>
      </c>
      <c r="O368" s="19" t="s">
        <v>774</v>
      </c>
      <c r="P368" s="20" t="str">
        <f t="shared" si="5"/>
        <v>亀山のいいとこさがし／建物</v>
      </c>
      <c r="Q368" s="21"/>
      <c r="R368" s="43"/>
    </row>
    <row r="369" spans="1:18" s="6" customFormat="1" ht="45" customHeight="1" x14ac:dyDescent="0.15">
      <c r="A369" s="26"/>
      <c r="B369" s="26"/>
      <c r="C369" s="26"/>
      <c r="D369" s="26"/>
      <c r="E369" s="26"/>
      <c r="F369" s="59"/>
      <c r="G369" s="70"/>
      <c r="H369" s="59"/>
      <c r="I369" s="59"/>
      <c r="J369" s="76"/>
      <c r="K369" s="59"/>
      <c r="L369" s="26"/>
      <c r="M369" s="76"/>
      <c r="N369" s="19" t="s">
        <v>933</v>
      </c>
      <c r="O369" s="19" t="s">
        <v>625</v>
      </c>
      <c r="P369" s="20" t="str">
        <f t="shared" si="5"/>
        <v>亀山のいいとこさがし／景色のよいところや歴史を知る手掛かりとなるもの／歴史上の場所／正法寺山荘跡</v>
      </c>
      <c r="Q369" s="21"/>
      <c r="R369" s="43"/>
    </row>
    <row r="370" spans="1:18" s="6" customFormat="1" ht="59.25" customHeight="1" x14ac:dyDescent="0.15">
      <c r="A370" s="7"/>
      <c r="B370" s="7"/>
      <c r="C370" s="7"/>
      <c r="D370" s="7"/>
      <c r="E370" s="7"/>
      <c r="F370" s="60"/>
      <c r="G370" s="65"/>
      <c r="H370" s="60"/>
      <c r="I370" s="60"/>
      <c r="J370" s="102"/>
      <c r="K370" s="60"/>
      <c r="L370" s="7"/>
      <c r="M370" s="102"/>
      <c r="N370" s="29" t="s">
        <v>775</v>
      </c>
      <c r="O370" s="29" t="s">
        <v>776</v>
      </c>
      <c r="P370" s="30" t="str">
        <f t="shared" si="5"/>
        <v>亀山のいいとこさがし／景色のよいところや歴史を知る手掛かりとなるもの／関宿のまちなみ／新所のまちなみ／地蔵院本堂・鐘楼・愛染堂</v>
      </c>
      <c r="Q370" s="10"/>
      <c r="R370" s="9"/>
    </row>
    <row r="371" spans="1:18" s="6" customFormat="1" ht="49.5" customHeight="1" x14ac:dyDescent="0.15">
      <c r="A371" s="11" t="s">
        <v>853</v>
      </c>
      <c r="B371" s="11">
        <v>16</v>
      </c>
      <c r="C371" s="11" t="s">
        <v>934</v>
      </c>
      <c r="D371" s="11">
        <v>1568</v>
      </c>
      <c r="E371" s="11" t="s">
        <v>20</v>
      </c>
      <c r="F371" s="61"/>
      <c r="G371" s="61" t="s">
        <v>935</v>
      </c>
      <c r="H371" s="61"/>
      <c r="I371" s="61"/>
      <c r="J371" s="61"/>
      <c r="K371" s="61" t="s">
        <v>936</v>
      </c>
      <c r="L371" s="11"/>
      <c r="M371" s="11"/>
      <c r="N371" s="12" t="s">
        <v>937</v>
      </c>
      <c r="O371" s="12" t="s">
        <v>703</v>
      </c>
      <c r="P371" s="13" t="str">
        <f t="shared" si="5"/>
        <v>日本の歴史の中の亀山／中世の亀山／武士の台頭と亀山／平氏と源氏／平資盛と関氏のはじまり／平資盛の子孫たち</v>
      </c>
      <c r="Q371" s="63"/>
      <c r="R371" s="11" t="s">
        <v>938</v>
      </c>
    </row>
    <row r="372" spans="1:18" s="6" customFormat="1" ht="46.5" customHeight="1" x14ac:dyDescent="0.15">
      <c r="A372" s="11" t="s">
        <v>853</v>
      </c>
      <c r="B372" s="11">
        <v>16</v>
      </c>
      <c r="C372" s="11" t="s">
        <v>939</v>
      </c>
      <c r="D372" s="11">
        <v>1569</v>
      </c>
      <c r="E372" s="11" t="s">
        <v>20</v>
      </c>
      <c r="F372" s="61"/>
      <c r="G372" s="61" t="s">
        <v>940</v>
      </c>
      <c r="H372" s="61"/>
      <c r="I372" s="61"/>
      <c r="J372" s="61"/>
      <c r="K372" s="61" t="s">
        <v>936</v>
      </c>
      <c r="L372" s="11"/>
      <c r="M372" s="11"/>
      <c r="N372" s="23" t="s">
        <v>941</v>
      </c>
      <c r="O372" s="23" t="s">
        <v>942</v>
      </c>
      <c r="P372" s="24" t="str">
        <f t="shared" si="5"/>
        <v>日本の歴史の中の亀山／中世の亀山／東アジアとのかかわり／戦乱の亀山／織田信長と関氏</v>
      </c>
      <c r="Q372" s="25" t="str">
        <f>HYPERLINK("http:/kameyamarekihaku.jp/sisi/tuusiHP_next/tuusi-index.html#kochuusei0901","市史通史編 原始・古代・中世第9章第1節")</f>
        <v>市史通史編 原始・古代・中世第9章第1節</v>
      </c>
      <c r="R372" s="11" t="s">
        <v>433</v>
      </c>
    </row>
    <row r="373" spans="1:18" s="6" customFormat="1" ht="46.5" customHeight="1" x14ac:dyDescent="0.15">
      <c r="A373" s="15" t="s">
        <v>943</v>
      </c>
      <c r="B373" s="15">
        <v>16</v>
      </c>
      <c r="C373" s="15" t="s">
        <v>944</v>
      </c>
      <c r="D373" s="15">
        <v>1573</v>
      </c>
      <c r="E373" s="15" t="s">
        <v>20</v>
      </c>
      <c r="F373" s="62" t="s">
        <v>945</v>
      </c>
      <c r="G373" s="62" t="s">
        <v>946</v>
      </c>
      <c r="H373" s="62" t="s">
        <v>464</v>
      </c>
      <c r="I373" s="62" t="s">
        <v>947</v>
      </c>
      <c r="J373" s="71" t="str">
        <f>HYPERLINK("http://kameyamarekihaku.jp/sisi/koukoHP/archives/kamejyougennjyo/01/01-06/gi.html?pf=KJGNJY0106-06-001.JPG&amp;pn=%E6%9C%AC%E4%B8%B8%E8%B7%A1%EF%BC%88%E4%BA%80%E5%B1%B1%E7%A5%9E%E7%A4%BE%EF%BC%89","亀山城跡")</f>
        <v>亀山城跡</v>
      </c>
      <c r="K373" s="62" t="s">
        <v>936</v>
      </c>
      <c r="L373" s="15"/>
      <c r="M373" s="15"/>
      <c r="N373" s="19" t="s">
        <v>948</v>
      </c>
      <c r="O373" s="19" t="s">
        <v>942</v>
      </c>
      <c r="P373" s="20" t="str">
        <f t="shared" si="5"/>
        <v>日本の歴史の中の亀山／中世の亀山／東アジアとのかかわり／戦乱の亀山／織田信長と関氏</v>
      </c>
      <c r="Q373" s="21" t="str">
        <f>HYPERLINK("http:/kameyamarekihaku.jp/sisi/KoukoHP/iseki.html","市史考古編遺跡一覧N0.66")</f>
        <v>市史考古編遺跡一覧N0.66</v>
      </c>
      <c r="R373" s="15" t="s">
        <v>409</v>
      </c>
    </row>
    <row r="374" spans="1:18" s="6" customFormat="1" ht="35.25" customHeight="1" x14ac:dyDescent="0.15">
      <c r="A374" s="298" t="s">
        <v>943</v>
      </c>
      <c r="B374" s="15">
        <v>16</v>
      </c>
      <c r="C374" s="15" t="s">
        <v>949</v>
      </c>
      <c r="D374" s="15">
        <v>1574</v>
      </c>
      <c r="E374" s="15" t="s">
        <v>20</v>
      </c>
      <c r="F374" s="62"/>
      <c r="G374" s="327" t="s">
        <v>950</v>
      </c>
      <c r="H374" s="62" t="s">
        <v>48</v>
      </c>
      <c r="I374" s="62" t="s">
        <v>156</v>
      </c>
      <c r="J374" s="71" t="str">
        <f>HYPERLINK("http://kameyamarekihaku.jp/sisi/koukoHP/archives/minejyouat/01/01-01/gi.html?pf=MINEJ0101-01-016.jpg&amp;pn=%E5%B3%AF%E5%9F%8E%E8%B7%A1%E7%A9%BA%E4%B8%AD%E5%86%99%E7%9C%9F%EF%BC%88%E5%B7%9D%E5%B4%8E%E3%83%BB%E5%8F%A4%E5%9F%8E%E8%B7%A1%EF%BC%89","峯城跡")</f>
        <v>峯城跡</v>
      </c>
      <c r="K374" s="62" t="s">
        <v>951</v>
      </c>
      <c r="L374" s="15"/>
      <c r="M374" s="15" t="s">
        <v>952</v>
      </c>
      <c r="N374" s="32" t="s">
        <v>953</v>
      </c>
      <c r="O374" s="32" t="s">
        <v>954</v>
      </c>
      <c r="P374" s="33" t="str">
        <f t="shared" si="5"/>
        <v>亀山のむかしばなし／こわいはなし／かんざし井戸</v>
      </c>
      <c r="Q374" s="17" t="str">
        <f>HYPERLINK("http:/kameyamarekihaku.jp/sisi/KoukoHP/iseki.html","市史考古編遺跡一覧N0.60")</f>
        <v>市史考古編遺跡一覧N0.60</v>
      </c>
      <c r="R374" s="15" t="s">
        <v>538</v>
      </c>
    </row>
    <row r="375" spans="1:18" s="6" customFormat="1" ht="32.25" customHeight="1" x14ac:dyDescent="0.15">
      <c r="A375" s="316"/>
      <c r="B375" s="26"/>
      <c r="C375" s="26"/>
      <c r="D375" s="26"/>
      <c r="E375" s="26"/>
      <c r="F375" s="59"/>
      <c r="G375" s="328"/>
      <c r="H375" s="59"/>
      <c r="I375" s="59"/>
      <c r="J375" s="76"/>
      <c r="K375" s="59"/>
      <c r="L375" s="26"/>
      <c r="M375" s="21" t="str">
        <f>HYPERLINK("http://kameyamarekihaku.jp/sisi/MinzokuHP/jirei/bunrui11/data11-2/gi.htm?pf=11-1_m.JPG&amp;pn=%E7%B0%AA%EF%BC%88%E3%81%8B%E3%82%93%E3%81%96%E3%81%97%EF%BC%89%E4%BA%95%E6%88%B8%EF%BC%88%E5%B7%9D%E5%B4%8E%E7%94%BA%E6%9F%B4%E5%B4%8E%EF%BC%89","簪井戸（川崎町柴崎）")</f>
        <v>簪井戸（川崎町柴崎）</v>
      </c>
      <c r="N375" s="19" t="s">
        <v>955</v>
      </c>
      <c r="O375" s="19" t="s">
        <v>956</v>
      </c>
      <c r="P375" s="20" t="str">
        <f t="shared" si="5"/>
        <v>亀山城と宿場／安土桃山時代の亀山城主／岡本良勝の出身</v>
      </c>
      <c r="Q375" s="21" t="str">
        <f>HYPERLINK("http://kameyamarekihaku.jp/sisi/MinzokuHP/jirei/bunrui11/data11-2/index11_2_1.htm","市史民俗編／口頭伝承〜簪井戸の由来")</f>
        <v>市史民俗編／口頭伝承〜簪井戸の由来</v>
      </c>
      <c r="R375" s="26"/>
    </row>
    <row r="376" spans="1:18" s="6" customFormat="1" ht="44.25" customHeight="1" x14ac:dyDescent="0.15">
      <c r="A376" s="7"/>
      <c r="B376" s="7"/>
      <c r="C376" s="7"/>
      <c r="D376" s="7"/>
      <c r="E376" s="7"/>
      <c r="F376" s="60"/>
      <c r="G376" s="65"/>
      <c r="H376" s="60"/>
      <c r="I376" s="60"/>
      <c r="J376" s="102"/>
      <c r="K376" s="60"/>
      <c r="L376" s="7"/>
      <c r="M376" s="7"/>
      <c r="N376" s="53" t="s">
        <v>957</v>
      </c>
      <c r="O376" s="29" t="s">
        <v>760</v>
      </c>
      <c r="P376" s="30" t="str">
        <f t="shared" si="5"/>
        <v>亀山のいいとこさがし／景色のよいところや歴史を知る手掛かりとなるもの／歴史上の場所／峯城跡</v>
      </c>
      <c r="Q376" s="102" t="str">
        <f>HYPERLINK("http://kameyamarekihaku.jp/sisi/kouko/kouko_minejou.htm","亀山市史考古の峯城跡調査")</f>
        <v>亀山市史考古の峯城跡調査</v>
      </c>
      <c r="R376" s="7"/>
    </row>
    <row r="377" spans="1:18" s="6" customFormat="1" ht="30" customHeight="1" x14ac:dyDescent="0.15">
      <c r="A377" s="11" t="s">
        <v>943</v>
      </c>
      <c r="B377" s="11">
        <v>16</v>
      </c>
      <c r="C377" s="11" t="s">
        <v>958</v>
      </c>
      <c r="D377" s="11">
        <v>1582</v>
      </c>
      <c r="E377" s="11" t="s">
        <v>20</v>
      </c>
      <c r="F377" s="61"/>
      <c r="G377" s="61" t="s">
        <v>959</v>
      </c>
      <c r="H377" s="61" t="s">
        <v>464</v>
      </c>
      <c r="I377" s="61" t="s">
        <v>947</v>
      </c>
      <c r="J377" s="82" t="str">
        <f>HYPERLINK("http://kameyamarekihaku.jp/sisi/koukoHP/archives/kamejyougennjyo/01/01-06/gi.html?pf=KJGNJY0106-06-001.JPG&amp;pn=%E6%9C%AC%E4%B8%B8%E8%B7%A1%EF%BC%88%E4%BA%80%E5%B1%B1%E7%A5%9E%E7%A4%BE%EF%BC%89","亀山城跡")</f>
        <v>亀山城跡</v>
      </c>
      <c r="K377" s="61" t="s">
        <v>960</v>
      </c>
      <c r="L377" s="11"/>
      <c r="M377" s="11"/>
      <c r="N377" s="119" t="s">
        <v>961</v>
      </c>
      <c r="O377" s="12" t="s">
        <v>942</v>
      </c>
      <c r="P377" s="13" t="str">
        <f t="shared" si="5"/>
        <v>日本の歴史の中の亀山／中世の亀山／東アジアとのかかわり／戦乱の亀山／織田信長と関氏</v>
      </c>
      <c r="Q377" s="120"/>
      <c r="R377" s="11" t="s">
        <v>879</v>
      </c>
    </row>
    <row r="378" spans="1:18" s="6" customFormat="1" ht="47.25" customHeight="1" x14ac:dyDescent="0.15">
      <c r="A378" s="15" t="s">
        <v>943</v>
      </c>
      <c r="B378" s="15">
        <v>16</v>
      </c>
      <c r="C378" s="15" t="s">
        <v>958</v>
      </c>
      <c r="D378" s="15">
        <v>1582</v>
      </c>
      <c r="E378" s="15" t="s">
        <v>20</v>
      </c>
      <c r="F378" s="62" t="s">
        <v>962</v>
      </c>
      <c r="G378" s="62" t="s">
        <v>963</v>
      </c>
      <c r="H378" s="15" t="s">
        <v>542</v>
      </c>
      <c r="I378" s="36" t="s">
        <v>543</v>
      </c>
      <c r="J378" s="16" t="str">
        <f>HYPERLINK("http://kameyamarekihaku.jp/sisi/tuusiHP_next/kochuusei/image/03/gi.htm?pf=1112zu035.JPG&amp;?pn=%20%E3%80%8E%E9%87%91%E7%8E%8B%E9%81%93%E3%80%8F%E3%82%B3%E3%83%BC%E3%82%B9%E6%A8%A1%E5%BC%8F%E5%9B%B3","金王道")</f>
        <v>金王道</v>
      </c>
      <c r="K378" s="62" t="s">
        <v>964</v>
      </c>
      <c r="L378" s="15"/>
      <c r="M378" s="18" t="str">
        <f>HYPERLINK("http://kameyamarekihaku.jp/sisi/tuusiHP_next/kochuusei/image/09/gi.htm?pf=1271sh158.JPG&amp;?pn=%E6%9C%AC%E8%83%BD%E5%AF%BA%E8%B7%A1%EF%BC%88%E4%BA%AC%E9%83%BD%E5%B8%82%E4%B8%AD%E4%BA%AC%E5%8C%BA%EF%BC%89","本能寺跡")</f>
        <v>本能寺跡</v>
      </c>
      <c r="N378" s="103" t="s">
        <v>546</v>
      </c>
      <c r="O378" s="103" t="s">
        <v>547</v>
      </c>
      <c r="P378" s="104" t="str">
        <f t="shared" si="5"/>
        <v>むかしの道と交通／亀山の中世の道</v>
      </c>
      <c r="Q378" s="17" t="str">
        <f>HYPERLINK("http:/kameyamarekihaku.jp/sisi/tuusiHP_next/tuusi-index.html#kochuusei0902","市史通史編 原始・古代・中世第9章第2節第3節")</f>
        <v>市史通史編 原始・古代・中世第9章第2節第3節</v>
      </c>
      <c r="R378" s="15" t="s">
        <v>965</v>
      </c>
    </row>
    <row r="379" spans="1:18" s="6" customFormat="1" ht="17.25" customHeight="1" x14ac:dyDescent="0.15">
      <c r="A379" s="298" t="s">
        <v>943</v>
      </c>
      <c r="B379" s="15">
        <v>16</v>
      </c>
      <c r="C379" s="15" t="s">
        <v>966</v>
      </c>
      <c r="D379" s="15">
        <v>1583</v>
      </c>
      <c r="E379" s="15" t="s">
        <v>20</v>
      </c>
      <c r="F379" s="62"/>
      <c r="G379" s="327" t="s">
        <v>967</v>
      </c>
      <c r="H379" s="62" t="s">
        <v>48</v>
      </c>
      <c r="I379" s="62" t="s">
        <v>156</v>
      </c>
      <c r="J379" s="71" t="str">
        <f>HYPERLINK("http://kameyamarekihaku.jp/sisi/koukoHP/archives/minejyouat/01/01-01/gi.html?pf=MINEJ0101-01-016.jpg&amp;pn=%E5%B3%AF%E5%9F%8E%E8%B7%A1%E7%A9%BA%E4%B8%AD%E5%86%99%E7%9C%9F%EF%BC%88%E5%B7%9D%E5%B4%8E%E3%83%BB%E5%8F%A4%E5%9F%8E%E8%B7%A1%EF%BC%89","峯城跡")</f>
        <v>峯城跡</v>
      </c>
      <c r="K379" s="337" t="str">
        <f>HYPERLINK("http://kameyamarekihaku.jp/sisi/tuusiHP_next/kochuusei/image/09/gi.htm?pf=1279sh164.JPG&amp;?pn=%20%E8%92%B2%E7%94%9F%E6%B0%8F%E9%83%B7%E9%8A%85%E5%83%8F%EF%BC%88%E6%BB%8B%E8%B3%80%E7%9C%8C%E6%97%A5%E9%87%8E%E7%94%BA%EF%BC%89","蒲生氏郷")</f>
        <v>蒲生氏郷</v>
      </c>
      <c r="L379" s="15"/>
      <c r="M379" s="27" t="str">
        <f>HYPERLINK("http://kameyamarekihaku.jp/sisi/koukoHP/archives/minejyouat/01/01-01/gi.html?pf=MINEJ0101-01-010.jpg&amp;pn=%E5%B3%AF%E5%9F%8E%E8%B7%A1%E6%A8%99%E6%9F%B1","峯城跡標柱")</f>
        <v>峯城跡標柱</v>
      </c>
      <c r="N379" s="310" t="s">
        <v>968</v>
      </c>
      <c r="O379" s="310" t="s">
        <v>969</v>
      </c>
      <c r="P379" s="311" t="str">
        <f t="shared" si="5"/>
        <v>亀山のむかしばなし／亀山にまつわるひとびとの話／がもじがきた</v>
      </c>
      <c r="Q379" s="17" t="str">
        <f>HYPERLINK("http:/kameyamarekihaku.jp/sisi/tuusiHP_next/kochuusei/image/09/gi.htm?pf=1274zu086.JPG&amp;?pn=%20%E5%A4%A9%E6%AD%A3%EF%BC%91%EF%BC%91%E5%B9%B4%EF%BC%92%E6%9C%88%E3%81%AE%E5%8C%97%E5%8B%A2%E5%9C%B0%E5%9F%9F%E7%8A%B6%E6%B3%81","天正11年2月の北西地域状況")</f>
        <v>天正11年2月の北西地域状況</v>
      </c>
      <c r="R379" s="298" t="s">
        <v>909</v>
      </c>
    </row>
    <row r="380" spans="1:18" s="6" customFormat="1" ht="14.25" customHeight="1" x14ac:dyDescent="0.15">
      <c r="A380" s="316"/>
      <c r="B380" s="26"/>
      <c r="C380" s="26"/>
      <c r="D380" s="26"/>
      <c r="E380" s="26"/>
      <c r="F380" s="59"/>
      <c r="G380" s="328"/>
      <c r="H380" s="59"/>
      <c r="I380" s="59"/>
      <c r="J380" s="76"/>
      <c r="K380" s="328"/>
      <c r="L380" s="26"/>
      <c r="M380" s="21" t="str">
        <f>HYPERLINK("http:/kameyamarekihaku.jp/sisi/koukoHP/archives/kamejyougennjyo/01/01-01/gi.html?pf=KJGNJY0101-01-067.JPG&amp;pn=%E7%A7%80%E5%90%89%E6%9C%AC%E9%99%A3%E8%B7%A1%E4%BC%9D%E6%89%BF%E5%9C%B0%E6%A8%99%E6%9F%B1","秀吉本陣跡伝承地標柱")</f>
        <v>秀吉本陣跡伝承地標柱</v>
      </c>
      <c r="N380" s="317"/>
      <c r="O380" s="317" t="e">
        <v>#VALUE!</v>
      </c>
      <c r="P380" s="318" t="str">
        <f t="shared" si="5"/>
        <v/>
      </c>
      <c r="Q380" s="76" t="str">
        <f>HYPERLINK("http://kameyamarekihaku.jp/sisi/kouko/kouko_minejou.htm","亀山市史考古の峯城跡調査")</f>
        <v>亀山市史考古の峯城跡調査</v>
      </c>
      <c r="R380" s="316"/>
    </row>
    <row r="381" spans="1:18" s="6" customFormat="1" ht="36" customHeight="1" x14ac:dyDescent="0.15">
      <c r="A381" s="43"/>
      <c r="B381" s="26"/>
      <c r="C381" s="26"/>
      <c r="D381" s="26"/>
      <c r="E381" s="26"/>
      <c r="F381" s="59"/>
      <c r="G381" s="70"/>
      <c r="H381" s="59"/>
      <c r="I381" s="59"/>
      <c r="J381" s="76"/>
      <c r="K381" s="70"/>
      <c r="L381" s="26"/>
      <c r="M381" s="21"/>
      <c r="N381" s="19" t="s">
        <v>970</v>
      </c>
      <c r="O381" s="19" t="s">
        <v>971</v>
      </c>
      <c r="P381" s="20" t="str">
        <f t="shared" si="5"/>
        <v>亀山のむかしばなし／亀山にまつわるひとびとの話／羽柴秀吉と橋板</v>
      </c>
      <c r="Q381" s="76"/>
      <c r="R381" s="43"/>
    </row>
    <row r="382" spans="1:18" s="6" customFormat="1" ht="34.5" customHeight="1" x14ac:dyDescent="0.15">
      <c r="A382" s="43"/>
      <c r="B382" s="26"/>
      <c r="C382" s="26"/>
      <c r="D382" s="26"/>
      <c r="E382" s="26"/>
      <c r="F382" s="59"/>
      <c r="G382" s="70"/>
      <c r="H382" s="59"/>
      <c r="I382" s="59"/>
      <c r="J382" s="76"/>
      <c r="K382" s="70"/>
      <c r="L382" s="26"/>
      <c r="M382" s="21"/>
      <c r="N382" s="19" t="s">
        <v>972</v>
      </c>
      <c r="O382" s="19" t="s">
        <v>973</v>
      </c>
      <c r="P382" s="20" t="str">
        <f t="shared" si="5"/>
        <v>亀山のむかしばなし／おもしろいおはなし／峯城歌合戦</v>
      </c>
      <c r="Q382" s="76"/>
      <c r="R382" s="43"/>
    </row>
    <row r="383" spans="1:18" s="6" customFormat="1" ht="47.25" customHeight="1" x14ac:dyDescent="0.15">
      <c r="A383" s="43"/>
      <c r="B383" s="26"/>
      <c r="C383" s="26"/>
      <c r="D383" s="26"/>
      <c r="E383" s="26"/>
      <c r="F383" s="59"/>
      <c r="G383" s="70"/>
      <c r="H383" s="59"/>
      <c r="I383" s="59"/>
      <c r="J383" s="76"/>
      <c r="K383" s="70"/>
      <c r="L383" s="26"/>
      <c r="M383" s="21"/>
      <c r="N383" s="19" t="s">
        <v>974</v>
      </c>
      <c r="O383" s="19" t="s">
        <v>705</v>
      </c>
      <c r="P383" s="20" t="str">
        <f t="shared" si="5"/>
        <v>日本の歴史の中の亀山／中世の亀山／東アジアとのかかわり／戦国時代の亀山／中世の城跡</v>
      </c>
      <c r="Q383" s="76"/>
      <c r="R383" s="43"/>
    </row>
    <row r="384" spans="1:18" s="6" customFormat="1" ht="47.25" customHeight="1" x14ac:dyDescent="0.15">
      <c r="A384" s="43"/>
      <c r="B384" s="26"/>
      <c r="C384" s="26"/>
      <c r="D384" s="26"/>
      <c r="E384" s="26"/>
      <c r="F384" s="59"/>
      <c r="G384" s="70"/>
      <c r="H384" s="59"/>
      <c r="I384" s="59"/>
      <c r="J384" s="76"/>
      <c r="K384" s="70"/>
      <c r="L384" s="26"/>
      <c r="M384" s="21"/>
      <c r="N384" s="19" t="s">
        <v>975</v>
      </c>
      <c r="O384" s="19" t="s">
        <v>976</v>
      </c>
      <c r="P384" s="20" t="str">
        <f t="shared" si="5"/>
        <v>日本の歴史の中の亀山／中世の亀山／東アジアとのかかわり／戦乱の亀山／羽柴秀吉の亀山・峯城攻め</v>
      </c>
      <c r="Q384" s="76"/>
      <c r="R384" s="43"/>
    </row>
    <row r="385" spans="1:18" s="6" customFormat="1" ht="47.25" customHeight="1" x14ac:dyDescent="0.15">
      <c r="A385" s="43"/>
      <c r="B385" s="26"/>
      <c r="C385" s="26"/>
      <c r="D385" s="26"/>
      <c r="E385" s="26"/>
      <c r="F385" s="59"/>
      <c r="G385" s="70"/>
      <c r="H385" s="59"/>
      <c r="I385" s="59"/>
      <c r="J385" s="76"/>
      <c r="K385" s="70"/>
      <c r="L385" s="26"/>
      <c r="M385" s="21"/>
      <c r="N385" s="19" t="s">
        <v>977</v>
      </c>
      <c r="O385" s="19" t="s">
        <v>760</v>
      </c>
      <c r="P385" s="20" t="str">
        <f t="shared" si="5"/>
        <v>亀山のいいとこさがし／景色のよいところや歴史を知る手掛かりとなるもの／歴史上の場所／峯城跡</v>
      </c>
      <c r="Q385" s="76"/>
      <c r="R385" s="43"/>
    </row>
    <row r="386" spans="1:18" s="6" customFormat="1" ht="39.75" customHeight="1" x14ac:dyDescent="0.15">
      <c r="A386" s="11" t="s">
        <v>943</v>
      </c>
      <c r="B386" s="11">
        <v>16</v>
      </c>
      <c r="C386" s="11" t="s">
        <v>966</v>
      </c>
      <c r="D386" s="11">
        <v>1583</v>
      </c>
      <c r="E386" s="11" t="s">
        <v>34</v>
      </c>
      <c r="F386" s="61"/>
      <c r="G386" s="61" t="s">
        <v>978</v>
      </c>
      <c r="H386" s="61" t="s">
        <v>199</v>
      </c>
      <c r="I386" s="61" t="s">
        <v>475</v>
      </c>
      <c r="J386" s="61" t="s">
        <v>979</v>
      </c>
      <c r="K386" s="61" t="s">
        <v>980</v>
      </c>
      <c r="L386" s="11"/>
      <c r="M386" s="61" t="s">
        <v>979</v>
      </c>
      <c r="N386" s="12"/>
      <c r="O386" s="12" t="e">
        <v>#VALUE!</v>
      </c>
      <c r="P386" s="13" t="str">
        <f t="shared" si="5"/>
        <v/>
      </c>
      <c r="Q386" s="63"/>
      <c r="R386" s="11" t="s">
        <v>489</v>
      </c>
    </row>
    <row r="387" spans="1:18" s="6" customFormat="1" ht="47.25" customHeight="1" x14ac:dyDescent="0.15">
      <c r="A387" s="11" t="s">
        <v>943</v>
      </c>
      <c r="B387" s="11">
        <v>16</v>
      </c>
      <c r="C387" s="11" t="s">
        <v>981</v>
      </c>
      <c r="D387" s="11">
        <v>1584</v>
      </c>
      <c r="E387" s="11" t="s">
        <v>20</v>
      </c>
      <c r="F387" s="61"/>
      <c r="G387" s="61" t="s">
        <v>982</v>
      </c>
      <c r="H387" s="61" t="s">
        <v>48</v>
      </c>
      <c r="I387" s="61" t="s">
        <v>156</v>
      </c>
      <c r="J387" s="61" t="s">
        <v>983</v>
      </c>
      <c r="K387" s="61" t="s">
        <v>984</v>
      </c>
      <c r="L387" s="22" t="str">
        <f>HYPERLINK("http://kameyamarekihaku.jp/sisi/koukoHP/archives/kamejyoukasyutud/01/01-01/KJMSD0101-01.html","亀山城跡下層遺構出土資料")</f>
        <v>亀山城跡下層遺構出土資料</v>
      </c>
      <c r="M387" s="11" t="s">
        <v>985</v>
      </c>
      <c r="N387" s="23" t="s">
        <v>975</v>
      </c>
      <c r="O387" s="23" t="s">
        <v>976</v>
      </c>
      <c r="P387" s="24" t="str">
        <f t="shared" ref="P387:P450" si="6">IFERROR(HYPERLINK(O387,N387),"")</f>
        <v>日本の歴史の中の亀山／中世の亀山／東アジアとのかかわり／戦乱の亀山／羽柴秀吉の亀山・峯城攻め</v>
      </c>
      <c r="Q387" s="25" t="str">
        <f>HYPERLINK("http:/kameyamarekihaku.jp/sisi/KoukoHP/iseki.html","市史考古編遺跡一覧N0.55")</f>
        <v>市史考古編遺跡一覧N0.55</v>
      </c>
      <c r="R387" s="11" t="s">
        <v>409</v>
      </c>
    </row>
    <row r="388" spans="1:18" s="6" customFormat="1" ht="33" customHeight="1" x14ac:dyDescent="0.15">
      <c r="A388" s="15" t="s">
        <v>943</v>
      </c>
      <c r="B388" s="15">
        <v>16</v>
      </c>
      <c r="C388" s="15" t="s">
        <v>981</v>
      </c>
      <c r="D388" s="15">
        <v>1584</v>
      </c>
      <c r="E388" s="15" t="s">
        <v>20</v>
      </c>
      <c r="F388" s="62"/>
      <c r="G388" s="62" t="s">
        <v>986</v>
      </c>
      <c r="H388" s="62" t="s">
        <v>48</v>
      </c>
      <c r="I388" s="62" t="s">
        <v>156</v>
      </c>
      <c r="J388" s="62" t="s">
        <v>983</v>
      </c>
      <c r="K388" s="62" t="s">
        <v>987</v>
      </c>
      <c r="L388" s="121" t="str">
        <f>HYPERLINK("http://kameyamarekihaku.jp/yane_no_nai/unit_leaf/A-8.pdf","歴博貸出ユニットA－８")</f>
        <v>歴博貸出ユニットA－８</v>
      </c>
      <c r="M388" s="15" t="s">
        <v>988</v>
      </c>
      <c r="N388" s="32" t="s">
        <v>642</v>
      </c>
      <c r="O388" s="32" t="s">
        <v>643</v>
      </c>
      <c r="P388" s="33" t="str">
        <f t="shared" si="6"/>
        <v>亀山城と宿場／鎌倉時代～安土桃山時代の亀山城主</v>
      </c>
      <c r="Q388" s="321" t="str">
        <f>HYPERLINK("http://kameyamarekihaku.jp/rekisi-hiroba/tyu-sei_monjo/web24_cyuseimonjyo/web24_cyuseimonjyo_indx.html","歴史広場　亀山市内にひろがる中世文書〜豊臣秀吉とその時代の古文書画像目録")</f>
        <v>歴史広場　亀山市内にひろがる中世文書〜豊臣秀吉とその時代の古文書画像目録</v>
      </c>
      <c r="R388" s="15" t="s">
        <v>489</v>
      </c>
    </row>
    <row r="389" spans="1:18" s="6" customFormat="1" ht="31.5" customHeight="1" x14ac:dyDescent="0.15">
      <c r="A389" s="26"/>
      <c r="B389" s="26"/>
      <c r="C389" s="26"/>
      <c r="D389" s="26"/>
      <c r="E389" s="26"/>
      <c r="F389" s="59"/>
      <c r="G389" s="59"/>
      <c r="H389" s="59"/>
      <c r="I389" s="59"/>
      <c r="J389" s="59"/>
      <c r="K389" s="59"/>
      <c r="L389" s="122"/>
      <c r="M389" s="26"/>
      <c r="N389" s="19" t="s">
        <v>989</v>
      </c>
      <c r="O389" s="19" t="s">
        <v>990</v>
      </c>
      <c r="P389" s="20" t="str">
        <f t="shared" si="6"/>
        <v>亀山城と宿場／江戸時代の亀山城主／関一政</v>
      </c>
      <c r="Q389" s="344"/>
      <c r="R389" s="26"/>
    </row>
    <row r="390" spans="1:18" s="6" customFormat="1" ht="48.75" customHeight="1" x14ac:dyDescent="0.15">
      <c r="A390" s="26"/>
      <c r="B390" s="26"/>
      <c r="C390" s="26"/>
      <c r="D390" s="26"/>
      <c r="E390" s="26"/>
      <c r="F390" s="59"/>
      <c r="G390" s="59"/>
      <c r="H390" s="59"/>
      <c r="I390" s="59"/>
      <c r="J390" s="59"/>
      <c r="K390" s="59"/>
      <c r="L390" s="122"/>
      <c r="M390" s="26"/>
      <c r="N390" s="19" t="s">
        <v>991</v>
      </c>
      <c r="O390" s="19" t="s">
        <v>705</v>
      </c>
      <c r="P390" s="20" t="str">
        <f t="shared" si="6"/>
        <v>日本の歴史の中の亀山／中世の亀山／東アジアとのかかわり／戦国時代の亀山／中世の城跡</v>
      </c>
      <c r="Q390" s="49"/>
      <c r="R390" s="26"/>
    </row>
    <row r="391" spans="1:18" s="6" customFormat="1" ht="33" customHeight="1" x14ac:dyDescent="0.15">
      <c r="A391" s="7"/>
      <c r="B391" s="7"/>
      <c r="C391" s="7"/>
      <c r="D391" s="7"/>
      <c r="E391" s="7"/>
      <c r="F391" s="60"/>
      <c r="G391" s="60"/>
      <c r="H391" s="60"/>
      <c r="I391" s="60"/>
      <c r="J391" s="60"/>
      <c r="K391" s="60"/>
      <c r="L391" s="123"/>
      <c r="M391" s="7"/>
      <c r="N391" s="29" t="s">
        <v>992</v>
      </c>
      <c r="O391" s="29" t="s">
        <v>993</v>
      </c>
      <c r="P391" s="30" t="str">
        <f t="shared" si="6"/>
        <v>亀山のいいとこさがし／手紙や本／手紙や記録など／豊臣秀吉朱印状</v>
      </c>
      <c r="Q391" s="46"/>
      <c r="R391" s="7"/>
    </row>
    <row r="392" spans="1:18" s="6" customFormat="1" ht="45.75" customHeight="1" x14ac:dyDescent="0.15">
      <c r="A392" s="26" t="s">
        <v>943</v>
      </c>
      <c r="B392" s="26">
        <v>16</v>
      </c>
      <c r="C392" s="26" t="s">
        <v>981</v>
      </c>
      <c r="D392" s="26">
        <v>1584</v>
      </c>
      <c r="E392" s="26" t="s">
        <v>20</v>
      </c>
      <c r="F392" s="59"/>
      <c r="G392" s="59" t="s">
        <v>994</v>
      </c>
      <c r="H392" s="59" t="s">
        <v>48</v>
      </c>
      <c r="I392" s="59" t="s">
        <v>156</v>
      </c>
      <c r="J392" s="76" t="str">
        <f>HYPERLINK("http://kameyamarekihaku.jp/sisi/koukoHP/archives/minejyouat/01/01-01/gi.html?pf=MINEJ0101-01-016.jpg&amp;pn=%E5%B3%AF%E5%9F%8E%E8%B7%A1%E7%A9%BA%E4%B8%AD%E5%86%99%E7%9C%9F%EF%BC%88%E5%B7%9D%E5%B4%8E%E3%83%BB%E5%8F%A4%E5%9F%8E%E8%B7%A1%EF%BC%89","峯城跡")</f>
        <v>峯城跡</v>
      </c>
      <c r="K392" s="59" t="s">
        <v>984</v>
      </c>
      <c r="L392" s="100"/>
      <c r="M392" s="26" t="s">
        <v>995</v>
      </c>
      <c r="N392" s="19" t="s">
        <v>974</v>
      </c>
      <c r="O392" s="19" t="s">
        <v>705</v>
      </c>
      <c r="P392" s="20" t="str">
        <f t="shared" si="6"/>
        <v>日本の歴史の中の亀山／中世の亀山／東アジアとのかかわり／戦国時代の亀山／中世の城跡</v>
      </c>
      <c r="Q392" s="21" t="str">
        <f>HYPERLINK("http://kameyamarekihaku.jp/sisi/kouko/kouko_minejou.htm","亀山市史考古の峯城跡調査")</f>
        <v>亀山市史考古の峯城跡調査</v>
      </c>
      <c r="R392" s="26" t="s">
        <v>996</v>
      </c>
    </row>
    <row r="393" spans="1:18" s="6" customFormat="1" ht="45.75" customHeight="1" x14ac:dyDescent="0.15">
      <c r="A393" s="26"/>
      <c r="B393" s="26"/>
      <c r="C393" s="26"/>
      <c r="D393" s="26"/>
      <c r="E393" s="26"/>
      <c r="F393" s="59"/>
      <c r="G393" s="59"/>
      <c r="H393" s="59"/>
      <c r="I393" s="59"/>
      <c r="J393" s="76"/>
      <c r="K393" s="59"/>
      <c r="L393" s="100"/>
      <c r="M393" s="26"/>
      <c r="N393" s="19" t="s">
        <v>997</v>
      </c>
      <c r="O393" s="19" t="s">
        <v>976</v>
      </c>
      <c r="P393" s="20" t="str">
        <f t="shared" si="6"/>
        <v>日本の歴史の中の亀山／中世の亀山／東アジアとのかかわり／戦乱の亀山／羽柴秀吉の亀山・峯城攻め</v>
      </c>
      <c r="Q393" s="21"/>
      <c r="R393" s="26"/>
    </row>
    <row r="394" spans="1:18" s="6" customFormat="1" ht="47.25" customHeight="1" x14ac:dyDescent="0.15">
      <c r="A394" s="7"/>
      <c r="B394" s="7"/>
      <c r="C394" s="7"/>
      <c r="D394" s="7"/>
      <c r="E394" s="7"/>
      <c r="F394" s="60"/>
      <c r="G394" s="60"/>
      <c r="H394" s="60"/>
      <c r="I394" s="60"/>
      <c r="J394" s="60"/>
      <c r="K394" s="60"/>
      <c r="L394" s="18"/>
      <c r="M394" s="7"/>
      <c r="N394" s="29" t="s">
        <v>977</v>
      </c>
      <c r="O394" s="29" t="s">
        <v>760</v>
      </c>
      <c r="P394" s="30" t="str">
        <f t="shared" si="6"/>
        <v>亀山のいいとこさがし／景色のよいところや歴史を知る手掛かりとなるもの／歴史上の場所／峯城跡</v>
      </c>
      <c r="Q394" s="10"/>
      <c r="R394" s="7"/>
    </row>
    <row r="395" spans="1:18" s="6" customFormat="1" ht="31.5" customHeight="1" x14ac:dyDescent="0.15">
      <c r="A395" s="11" t="s">
        <v>943</v>
      </c>
      <c r="B395" s="11">
        <v>16</v>
      </c>
      <c r="C395" s="11" t="s">
        <v>998</v>
      </c>
      <c r="D395" s="11">
        <v>1585</v>
      </c>
      <c r="E395" s="11" t="s">
        <v>20</v>
      </c>
      <c r="F395" s="61"/>
      <c r="G395" s="61" t="s">
        <v>999</v>
      </c>
      <c r="H395" s="61" t="s">
        <v>464</v>
      </c>
      <c r="I395" s="61" t="s">
        <v>947</v>
      </c>
      <c r="J395" s="61" t="s">
        <v>1000</v>
      </c>
      <c r="K395" s="61" t="s">
        <v>1001</v>
      </c>
      <c r="L395" s="11"/>
      <c r="M395" s="11"/>
      <c r="N395" s="12" t="s">
        <v>878</v>
      </c>
      <c r="O395" s="12" t="s">
        <v>836</v>
      </c>
      <c r="P395" s="13" t="str">
        <f t="shared" si="6"/>
        <v>亀山のむかしばなし／こわいはなし／大地震の話／亀山の大地震</v>
      </c>
      <c r="Q395" s="63"/>
      <c r="R395" s="11" t="s">
        <v>1002</v>
      </c>
    </row>
    <row r="396" spans="1:18" s="6" customFormat="1" ht="51" customHeight="1" x14ac:dyDescent="0.15">
      <c r="A396" s="11" t="s">
        <v>943</v>
      </c>
      <c r="B396" s="11">
        <v>16</v>
      </c>
      <c r="C396" s="11" t="s">
        <v>1003</v>
      </c>
      <c r="D396" s="11">
        <v>1586</v>
      </c>
      <c r="E396" s="11" t="s">
        <v>20</v>
      </c>
      <c r="F396" s="61"/>
      <c r="G396" s="61" t="s">
        <v>1004</v>
      </c>
      <c r="H396" s="61"/>
      <c r="I396" s="61"/>
      <c r="J396" s="61"/>
      <c r="K396" s="61" t="s">
        <v>1005</v>
      </c>
      <c r="L396" s="11" t="s">
        <v>1006</v>
      </c>
      <c r="M396" s="11"/>
      <c r="N396" s="12" t="s">
        <v>1007</v>
      </c>
      <c r="O396" s="12" t="s">
        <v>1008</v>
      </c>
      <c r="P396" s="13" t="str">
        <f t="shared" si="6"/>
        <v>日本の歴史の中の亀山／近世の亀山／豊臣秀吉による統一事業と亀山市域／朝鮮国攻めと岡本下野守</v>
      </c>
      <c r="Q396" s="63"/>
      <c r="R396" s="11" t="s">
        <v>1002</v>
      </c>
    </row>
    <row r="397" spans="1:18" s="6" customFormat="1" ht="33.75" customHeight="1" x14ac:dyDescent="0.15">
      <c r="A397" s="11" t="s">
        <v>943</v>
      </c>
      <c r="B397" s="11">
        <v>16</v>
      </c>
      <c r="C397" s="11" t="s">
        <v>1009</v>
      </c>
      <c r="D397" s="11">
        <v>1588</v>
      </c>
      <c r="E397" s="11" t="s">
        <v>20</v>
      </c>
      <c r="F397" s="61" t="s">
        <v>1010</v>
      </c>
      <c r="G397" s="61"/>
      <c r="H397" s="61"/>
      <c r="I397" s="61"/>
      <c r="J397" s="61"/>
      <c r="K397" s="61"/>
      <c r="L397" s="11"/>
      <c r="M397" s="11"/>
      <c r="N397" s="12" t="s">
        <v>1011</v>
      </c>
      <c r="O397" s="12" t="s">
        <v>1012</v>
      </c>
      <c r="P397" s="13" t="str">
        <f t="shared" si="6"/>
        <v>日本の歴史の中の亀山／近世の亀山／豊臣秀吉による統一事業と亀山市域</v>
      </c>
      <c r="Q397" s="63"/>
      <c r="R397" s="11" t="s">
        <v>1002</v>
      </c>
    </row>
    <row r="398" spans="1:18" s="6" customFormat="1" ht="36.75" customHeight="1" x14ac:dyDescent="0.15">
      <c r="A398" s="11" t="s">
        <v>943</v>
      </c>
      <c r="B398" s="11">
        <v>16</v>
      </c>
      <c r="C398" s="11" t="s">
        <v>1013</v>
      </c>
      <c r="D398" s="11">
        <v>1590</v>
      </c>
      <c r="E398" s="11" t="s">
        <v>20</v>
      </c>
      <c r="F398" s="61" t="s">
        <v>1014</v>
      </c>
      <c r="G398" s="61"/>
      <c r="H398" s="61"/>
      <c r="I398" s="61"/>
      <c r="J398" s="61"/>
      <c r="K398" s="61"/>
      <c r="L398" s="11"/>
      <c r="M398" s="11"/>
      <c r="N398" s="12" t="s">
        <v>1011</v>
      </c>
      <c r="O398" s="12" t="s">
        <v>1012</v>
      </c>
      <c r="P398" s="13" t="str">
        <f t="shared" si="6"/>
        <v>日本の歴史の中の亀山／近世の亀山／豊臣秀吉による統一事業と亀山市域</v>
      </c>
      <c r="Q398" s="63"/>
      <c r="R398" s="11" t="s">
        <v>1002</v>
      </c>
    </row>
    <row r="399" spans="1:18" s="6" customFormat="1" ht="47.25" customHeight="1" x14ac:dyDescent="0.15">
      <c r="A399" s="15" t="s">
        <v>943</v>
      </c>
      <c r="B399" s="15">
        <v>16</v>
      </c>
      <c r="C399" s="15" t="s">
        <v>1013</v>
      </c>
      <c r="D399" s="15">
        <v>1590</v>
      </c>
      <c r="E399" s="15" t="s">
        <v>20</v>
      </c>
      <c r="F399" s="62"/>
      <c r="G399" s="62" t="s">
        <v>1015</v>
      </c>
      <c r="H399" s="62"/>
      <c r="I399" s="62"/>
      <c r="J399" s="62"/>
      <c r="K399" s="62" t="s">
        <v>1016</v>
      </c>
      <c r="L399" s="17" t="str">
        <f>HYPERLINK("http:/kameyamarekihaku.jp/sisi/tuusiHP_next/kinsei/image/01/gi.htm?pf=2002sh002.JPG&amp;?pn=%E3%80%8E%E5%A4%AA%E9%96%A4%E7%A7%80%E5%90%89%E6%9C%9D%E9%AE%AE%E5%BE%81%E4%BC%90%E5%9B%B3%E3%80%8F","太閤秀吉朝鮮征伐図")</f>
        <v>太閤秀吉朝鮮征伐図</v>
      </c>
      <c r="M399" s="15"/>
      <c r="N399" s="111" t="s">
        <v>642</v>
      </c>
      <c r="O399" s="34" t="s">
        <v>643</v>
      </c>
      <c r="P399" s="124" t="str">
        <f t="shared" si="6"/>
        <v>亀山城と宿場／鎌倉時代～安土桃山時代の亀山城主</v>
      </c>
      <c r="R399" s="15" t="s">
        <v>1017</v>
      </c>
    </row>
    <row r="400" spans="1:18" s="6" customFormat="1" ht="47.25" customHeight="1" x14ac:dyDescent="0.15">
      <c r="A400" s="7"/>
      <c r="B400" s="7"/>
      <c r="C400" s="7"/>
      <c r="D400" s="7"/>
      <c r="E400" s="7"/>
      <c r="F400" s="60"/>
      <c r="G400" s="60"/>
      <c r="H400" s="60"/>
      <c r="I400" s="60"/>
      <c r="J400" s="60"/>
      <c r="K400" s="60"/>
      <c r="L400" s="10"/>
      <c r="M400" s="7"/>
      <c r="N400" s="125" t="s">
        <v>1018</v>
      </c>
      <c r="O400" s="86" t="s">
        <v>990</v>
      </c>
      <c r="P400" s="126" t="str">
        <f t="shared" si="6"/>
        <v>亀山城と宿場／江戸時代の亀山城主／関一政</v>
      </c>
      <c r="Q400" s="58"/>
      <c r="R400" s="7"/>
    </row>
    <row r="401" spans="1:18" s="6" customFormat="1" ht="31.5" customHeight="1" x14ac:dyDescent="0.15">
      <c r="A401" s="298" t="s">
        <v>943</v>
      </c>
      <c r="B401" s="15">
        <v>16</v>
      </c>
      <c r="C401" s="15" t="s">
        <v>1013</v>
      </c>
      <c r="D401" s="15">
        <v>1590</v>
      </c>
      <c r="E401" s="15" t="s">
        <v>20</v>
      </c>
      <c r="F401" s="62"/>
      <c r="G401" s="327" t="s">
        <v>1019</v>
      </c>
      <c r="H401" s="62" t="s">
        <v>393</v>
      </c>
      <c r="I401" s="62" t="s">
        <v>947</v>
      </c>
      <c r="J401" s="62" t="s">
        <v>1020</v>
      </c>
      <c r="K401" s="62" t="s">
        <v>951</v>
      </c>
      <c r="L401" s="15" t="s">
        <v>1021</v>
      </c>
      <c r="M401" s="15" t="s">
        <v>1022</v>
      </c>
      <c r="N401" s="32" t="s">
        <v>1023</v>
      </c>
      <c r="O401" s="32" t="s">
        <v>1024</v>
      </c>
      <c r="P401" s="33" t="str">
        <f t="shared" si="6"/>
        <v>亀山城と宿場／亀山城のつくり</v>
      </c>
      <c r="Q401" s="17" t="str">
        <f>HYPERLINK("http:/kameyamarekihaku.jp/sisi/tuusiHP_next/tuusi-index.html#kinsei0101","市史通史編 近世第1章第1節第1項")</f>
        <v>市史通史編 近世第1章第1節第1項</v>
      </c>
      <c r="R401" s="298" t="s">
        <v>1025</v>
      </c>
    </row>
    <row r="402" spans="1:18" s="6" customFormat="1" ht="23.25" customHeight="1" x14ac:dyDescent="0.15">
      <c r="A402" s="316"/>
      <c r="B402" s="26"/>
      <c r="C402" s="26"/>
      <c r="D402" s="26"/>
      <c r="E402" s="26"/>
      <c r="F402" s="59"/>
      <c r="G402" s="328"/>
      <c r="H402" s="59"/>
      <c r="I402" s="59"/>
      <c r="J402" s="59"/>
      <c r="K402" s="59"/>
      <c r="L402" s="316" t="s">
        <v>1026</v>
      </c>
      <c r="M402" s="26"/>
      <c r="N402" s="19" t="s">
        <v>1027</v>
      </c>
      <c r="O402" s="19" t="s">
        <v>1028</v>
      </c>
      <c r="P402" s="20" t="str">
        <f t="shared" si="6"/>
        <v>亀山城と宿場／岡本良勝の亀山城築城</v>
      </c>
      <c r="Q402" s="21"/>
      <c r="R402" s="316"/>
    </row>
    <row r="403" spans="1:18" s="6" customFormat="1" ht="34.5" customHeight="1" x14ac:dyDescent="0.15">
      <c r="A403" s="316"/>
      <c r="B403" s="26"/>
      <c r="C403" s="26"/>
      <c r="D403" s="26"/>
      <c r="E403" s="26"/>
      <c r="F403" s="59"/>
      <c r="G403" s="328"/>
      <c r="H403" s="59"/>
      <c r="I403" s="59"/>
      <c r="J403" s="59"/>
      <c r="K403" s="21"/>
      <c r="L403" s="316"/>
      <c r="M403" s="26"/>
      <c r="N403" s="19" t="s">
        <v>1029</v>
      </c>
      <c r="O403" s="19" t="s">
        <v>956</v>
      </c>
      <c r="P403" s="20" t="str">
        <f t="shared" si="6"/>
        <v>亀山城と宿場／安土桃山時代の亀山城主／岡本良勝の出身</v>
      </c>
      <c r="Q403" s="21"/>
      <c r="R403" s="316"/>
    </row>
    <row r="404" spans="1:18" s="6" customFormat="1" ht="47.25" customHeight="1" x14ac:dyDescent="0.15">
      <c r="A404" s="9"/>
      <c r="B404" s="7"/>
      <c r="C404" s="7"/>
      <c r="D404" s="7"/>
      <c r="E404" s="7"/>
      <c r="F404" s="60"/>
      <c r="G404" s="65"/>
      <c r="H404" s="60"/>
      <c r="I404" s="60"/>
      <c r="J404" s="60"/>
      <c r="K404" s="10"/>
      <c r="L404" s="18" t="str">
        <f>HYPERLINK("http://kameyamarekihaku.jp/sisi/tuusiHP_next/kinsei/image/01/gi.htm?pf=2007zu001.JPG&amp;?pn=%20%E6%9C%AC%E4%B8%B8%E5%BE%A1%E6%AE%BF%E5%B9%B3%E9%9D%A2%E5%9B%B3","本丸御殿平面図")</f>
        <v>本丸御殿平面図</v>
      </c>
      <c r="M404" s="7"/>
      <c r="N404" s="29" t="s">
        <v>1030</v>
      </c>
      <c r="O404" s="29" t="s">
        <v>1031</v>
      </c>
      <c r="P404" s="30" t="str">
        <f t="shared" si="6"/>
        <v>日本の歴史の中の亀山／近世の亀山／豊臣秀吉による統一事業と亀山市／岡本下野守と亀山城</v>
      </c>
      <c r="Q404" s="10"/>
      <c r="R404" s="9"/>
    </row>
    <row r="405" spans="1:18" s="6" customFormat="1" ht="64.5" customHeight="1" x14ac:dyDescent="0.15">
      <c r="A405" s="11" t="s">
        <v>943</v>
      </c>
      <c r="B405" s="11">
        <v>16</v>
      </c>
      <c r="C405" s="11" t="s">
        <v>1013</v>
      </c>
      <c r="D405" s="11">
        <v>1590</v>
      </c>
      <c r="E405" s="11" t="s">
        <v>20</v>
      </c>
      <c r="F405" s="61"/>
      <c r="G405" s="61" t="s">
        <v>1032</v>
      </c>
      <c r="H405" s="61" t="s">
        <v>199</v>
      </c>
      <c r="I405" s="61" t="s">
        <v>1033</v>
      </c>
      <c r="J405" s="61" t="s">
        <v>1034</v>
      </c>
      <c r="K405" s="61" t="s">
        <v>1035</v>
      </c>
      <c r="L405" s="11"/>
      <c r="M405" s="11" t="s">
        <v>1036</v>
      </c>
      <c r="N405" s="29" t="s">
        <v>1037</v>
      </c>
      <c r="O405" s="29" t="s">
        <v>1038</v>
      </c>
      <c r="P405" s="30" t="str">
        <f t="shared" si="6"/>
        <v>亀山城と宿場／亀山城と江戸幕府／亀山城に泊まった将軍／徳川家康と御茶屋御殿</v>
      </c>
      <c r="Q405" s="10" t="str">
        <f>HYPERLINK("http:/kameyamarekihaku.jp/sisi/KoukoHP/iseki.html","市史考古編遺跡一覧N0.67")</f>
        <v>市史考古編遺跡一覧N0.67</v>
      </c>
      <c r="R405" s="11" t="s">
        <v>1039</v>
      </c>
    </row>
    <row r="406" spans="1:18" s="6" customFormat="1" ht="34.5" customHeight="1" x14ac:dyDescent="0.15">
      <c r="A406" s="11" t="s">
        <v>943</v>
      </c>
      <c r="B406" s="11">
        <v>16</v>
      </c>
      <c r="C406" s="11" t="s">
        <v>1040</v>
      </c>
      <c r="D406" s="11">
        <v>1591</v>
      </c>
      <c r="E406" s="11" t="s">
        <v>20</v>
      </c>
      <c r="F406" s="61"/>
      <c r="G406" s="61" t="s">
        <v>1041</v>
      </c>
      <c r="H406" s="61"/>
      <c r="I406" s="61"/>
      <c r="J406" s="61"/>
      <c r="K406" s="61" t="s">
        <v>1016</v>
      </c>
      <c r="L406" s="11"/>
      <c r="M406" s="11"/>
      <c r="N406" s="12" t="s">
        <v>1042</v>
      </c>
      <c r="O406" s="12" t="s">
        <v>990</v>
      </c>
      <c r="P406" s="13" t="str">
        <f t="shared" si="6"/>
        <v>亀山城と宿場／江戸時代の亀山城主／関一政</v>
      </c>
      <c r="Q406" s="63"/>
      <c r="R406" s="11" t="s">
        <v>1002</v>
      </c>
    </row>
    <row r="407" spans="1:18" s="6" customFormat="1" ht="47.25" customHeight="1" x14ac:dyDescent="0.15">
      <c r="A407" s="15" t="s">
        <v>943</v>
      </c>
      <c r="B407" s="15">
        <v>16</v>
      </c>
      <c r="C407" s="15" t="s">
        <v>1043</v>
      </c>
      <c r="D407" s="15">
        <v>1592</v>
      </c>
      <c r="E407" s="15" t="s">
        <v>20</v>
      </c>
      <c r="F407" s="62"/>
      <c r="G407" s="62" t="s">
        <v>1044</v>
      </c>
      <c r="H407" s="62" t="s">
        <v>1045</v>
      </c>
      <c r="I407" s="62" t="s">
        <v>1046</v>
      </c>
      <c r="J407" s="62"/>
      <c r="K407" s="62" t="s">
        <v>1047</v>
      </c>
      <c r="L407" s="127" t="str">
        <f>HYPERLINK("http://kameyamarekihaku.jp/yane_no_nai/unit_leaf/A-8.pdf","歴博貸出ユニットA－８")</f>
        <v>歴博貸出ユニットA－８</v>
      </c>
      <c r="M407" s="15"/>
      <c r="N407" s="32" t="s">
        <v>1048</v>
      </c>
      <c r="O407" s="32" t="s">
        <v>1049</v>
      </c>
      <c r="P407" s="33" t="str">
        <f t="shared" si="6"/>
        <v>日本の歴史の中の亀山／近世の亀山／豊臣秀吉による統一事業と亀山市／豊臣秀吉が大名に与えた鈴鹿郡の村</v>
      </c>
      <c r="Q407" s="48" t="str">
        <f>HYPERLINK("http://kameyamarekihaku.jp/rekisi-hiroba/tyu-sei_monjo/web24_cyuseimonjyo/web24_cyuseimonjyo_indx.html","歴史広場　亀山市内にひろがる中世文書〜豊臣秀吉とその時代の古文書画像目録")</f>
        <v>歴史広場　亀山市内にひろがる中世文書〜豊臣秀吉とその時代の古文書画像目録</v>
      </c>
      <c r="R407" s="36" t="s">
        <v>1002</v>
      </c>
    </row>
    <row r="408" spans="1:18" s="6" customFormat="1" ht="30.75" customHeight="1" x14ac:dyDescent="0.15">
      <c r="A408" s="7"/>
      <c r="B408" s="7"/>
      <c r="C408" s="7"/>
      <c r="D408" s="7"/>
      <c r="E408" s="7"/>
      <c r="F408" s="60"/>
      <c r="G408" s="60"/>
      <c r="H408" s="60"/>
      <c r="I408" s="60"/>
      <c r="J408" s="60"/>
      <c r="K408" s="60"/>
      <c r="L408" s="123"/>
      <c r="N408" s="128" t="s">
        <v>992</v>
      </c>
      <c r="O408" s="129" t="s">
        <v>993</v>
      </c>
      <c r="P408" s="130" t="str">
        <f t="shared" si="6"/>
        <v>亀山のいいとこさがし／手紙や本／手紙や記録など／豊臣秀吉朱印状</v>
      </c>
      <c r="Q408" s="52" t="str">
        <f>HYPERLINK("http://kameyamarekihaku.jp/raikan_demae/130703_higashi.html","東小6年授業支援「豊臣秀吉の天下統一」")</f>
        <v>東小6年授業支援「豊臣秀吉の天下統一」</v>
      </c>
      <c r="R408" s="9"/>
    </row>
    <row r="409" spans="1:18" s="6" customFormat="1" ht="48" customHeight="1" x14ac:dyDescent="0.15">
      <c r="A409" s="11" t="s">
        <v>943</v>
      </c>
      <c r="B409" s="11">
        <v>16</v>
      </c>
      <c r="C409" s="11" t="s">
        <v>1043</v>
      </c>
      <c r="D409" s="11">
        <v>1592</v>
      </c>
      <c r="E409" s="11" t="s">
        <v>20</v>
      </c>
      <c r="F409" s="61"/>
      <c r="G409" s="61" t="s">
        <v>1050</v>
      </c>
      <c r="H409" s="61"/>
      <c r="I409" s="61"/>
      <c r="J409" s="61"/>
      <c r="K409" s="61" t="s">
        <v>951</v>
      </c>
      <c r="L409" s="72"/>
      <c r="M409" s="11"/>
      <c r="N409" s="23" t="s">
        <v>1029</v>
      </c>
      <c r="O409" s="23" t="s">
        <v>956</v>
      </c>
      <c r="P409" s="24" t="str">
        <f t="shared" si="6"/>
        <v>亀山城と宿場／安土桃山時代の亀山城主／岡本良勝の出身</v>
      </c>
      <c r="Q409" s="25" t="str">
        <f>HYPERLINK("http:/kameyamarekihaku.jp/sisi/tuusiHP_next/tuusi-index.html#kinsei0101","市史通史編 近世第1章第1節第1項")</f>
        <v>市史通史編 近世第1章第1節第1項</v>
      </c>
      <c r="R409" s="11" t="s">
        <v>1051</v>
      </c>
    </row>
    <row r="410" spans="1:18" s="6" customFormat="1" ht="30" customHeight="1" x14ac:dyDescent="0.15">
      <c r="A410" s="11" t="s">
        <v>943</v>
      </c>
      <c r="B410" s="11">
        <v>16</v>
      </c>
      <c r="C410" s="11" t="s">
        <v>1052</v>
      </c>
      <c r="D410" s="11">
        <v>1592</v>
      </c>
      <c r="E410" s="11" t="s">
        <v>20</v>
      </c>
      <c r="F410" s="61" t="s">
        <v>1053</v>
      </c>
      <c r="G410" s="61" t="s">
        <v>1054</v>
      </c>
      <c r="H410" s="61"/>
      <c r="I410" s="61"/>
      <c r="J410" s="61"/>
      <c r="K410" s="61" t="s">
        <v>1055</v>
      </c>
      <c r="L410" s="25" t="str">
        <f>HYPERLINK("http:/kameyamarekihaku.jp/sisi/tuusiHP_next/kinsei/image/01/gi.htm?pf=2002sh002.JPG&amp;?pn=%E3%80%8E%E5%A4%AA%E9%96%A4%E7%A7%80%E5%90%89%E6%9C%9D%E9%AE%AE%E5%BE%81%E4%BC%90%E5%9B%B3%E3%80%8F","太閤秀吉朝鮮征伐図")</f>
        <v>太閤秀吉朝鮮征伐図</v>
      </c>
      <c r="M410" s="11"/>
      <c r="N410" s="12"/>
      <c r="O410" s="12" t="e">
        <v>#VALUE!</v>
      </c>
      <c r="P410" s="13" t="str">
        <f t="shared" si="6"/>
        <v/>
      </c>
      <c r="Q410" s="63"/>
      <c r="R410" s="11" t="s">
        <v>1056</v>
      </c>
    </row>
    <row r="411" spans="1:18" s="6" customFormat="1" ht="27" x14ac:dyDescent="0.15">
      <c r="A411" s="11" t="s">
        <v>943</v>
      </c>
      <c r="B411" s="11">
        <v>16</v>
      </c>
      <c r="C411" s="11" t="s">
        <v>1057</v>
      </c>
      <c r="D411" s="11">
        <v>1593</v>
      </c>
      <c r="E411" s="11" t="s">
        <v>20</v>
      </c>
      <c r="F411" s="61"/>
      <c r="G411" s="61" t="s">
        <v>1058</v>
      </c>
      <c r="H411" s="61"/>
      <c r="I411" s="61"/>
      <c r="J411" s="61"/>
      <c r="K411" s="61" t="s">
        <v>1059</v>
      </c>
      <c r="L411" s="11"/>
      <c r="M411" s="11"/>
      <c r="N411" s="23"/>
      <c r="O411" s="23" t="e">
        <v>#VALUE!</v>
      </c>
      <c r="P411" s="24" t="str">
        <f t="shared" si="6"/>
        <v/>
      </c>
      <c r="Q411" s="25"/>
      <c r="R411" s="11" t="s">
        <v>1002</v>
      </c>
    </row>
    <row r="412" spans="1:18" s="6" customFormat="1" ht="36.75" customHeight="1" x14ac:dyDescent="0.15">
      <c r="A412" s="11" t="s">
        <v>943</v>
      </c>
      <c r="B412" s="11">
        <v>16</v>
      </c>
      <c r="C412" s="11" t="s">
        <v>1060</v>
      </c>
      <c r="D412" s="11" t="s">
        <v>1061</v>
      </c>
      <c r="E412" s="11" t="s">
        <v>20</v>
      </c>
      <c r="F412" s="61" t="s">
        <v>1062</v>
      </c>
      <c r="G412" s="61" t="s">
        <v>1063</v>
      </c>
      <c r="H412" s="61"/>
      <c r="I412" s="61"/>
      <c r="J412" s="61"/>
      <c r="K412" s="61"/>
      <c r="L412" s="11" t="s">
        <v>1064</v>
      </c>
      <c r="M412" s="11" t="s">
        <v>1065</v>
      </c>
      <c r="N412" s="12"/>
      <c r="O412" s="12" t="e">
        <v>#VALUE!</v>
      </c>
      <c r="P412" s="13" t="str">
        <f t="shared" si="6"/>
        <v/>
      </c>
      <c r="Q412" s="63"/>
      <c r="R412" s="11" t="s">
        <v>1002</v>
      </c>
    </row>
    <row r="413" spans="1:18" s="6" customFormat="1" ht="34.5" customHeight="1" x14ac:dyDescent="0.15">
      <c r="A413" s="36" t="s">
        <v>943</v>
      </c>
      <c r="B413" s="15">
        <v>16</v>
      </c>
      <c r="C413" s="15" t="s">
        <v>1066</v>
      </c>
      <c r="D413" s="15">
        <v>1594</v>
      </c>
      <c r="E413" s="15" t="s">
        <v>20</v>
      </c>
      <c r="F413" s="62"/>
      <c r="G413" s="83" t="s">
        <v>1067</v>
      </c>
      <c r="H413" s="15" t="s">
        <v>1068</v>
      </c>
      <c r="I413" s="62"/>
      <c r="J413" s="62"/>
      <c r="K413" s="62" t="s">
        <v>1059</v>
      </c>
      <c r="L413" s="131" t="str">
        <f>HYPERLINK("http://kameyamarekihaku.jp/yane_no_nai/unit_leaf/A-8.pdf","歴博貸出ユニットA－８")</f>
        <v>歴博貸出ユニットA－８</v>
      </c>
      <c r="M413" s="15" t="s">
        <v>1069</v>
      </c>
      <c r="N413" s="42" t="s">
        <v>955</v>
      </c>
      <c r="O413" s="19" t="s">
        <v>956</v>
      </c>
      <c r="P413" s="20" t="str">
        <f t="shared" si="6"/>
        <v>亀山城と宿場／安土桃山時代の亀山城主／岡本良勝の出身</v>
      </c>
      <c r="Q413" s="50" t="str">
        <f>HYPERLINK("http://kameyamarekihaku.jp/raikan_demae/130703_higashi.html","東小6年授業支援「豊臣秀吉の天下統一」")</f>
        <v>東小6年授業支援「豊臣秀吉の天下統一」</v>
      </c>
      <c r="R413" s="36" t="s">
        <v>1002</v>
      </c>
    </row>
    <row r="414" spans="1:18" s="6" customFormat="1" ht="45.75" customHeight="1" x14ac:dyDescent="0.15">
      <c r="A414" s="43"/>
      <c r="B414" s="26"/>
      <c r="C414" s="26"/>
      <c r="D414" s="26"/>
      <c r="E414" s="26"/>
      <c r="F414" s="59"/>
      <c r="G414" s="70"/>
      <c r="H414" s="26"/>
      <c r="I414" s="59"/>
      <c r="J414" s="59"/>
      <c r="K414" s="59"/>
      <c r="L414" s="122"/>
      <c r="M414" s="26"/>
      <c r="N414" s="42" t="s">
        <v>1070</v>
      </c>
      <c r="O414" s="19" t="s">
        <v>1049</v>
      </c>
      <c r="P414" s="20" t="str">
        <f t="shared" si="6"/>
        <v>日本の歴史の中の亀山／近世の亀山／豊臣秀吉による統一事業と亀山市／豊臣秀吉が大名に与えた鈴鹿郡の村</v>
      </c>
      <c r="Q414" s="132"/>
      <c r="R414" s="43"/>
    </row>
    <row r="415" spans="1:18" s="6" customFormat="1" ht="33.75" customHeight="1" x14ac:dyDescent="0.15">
      <c r="A415" s="9"/>
      <c r="B415" s="7"/>
      <c r="C415" s="7"/>
      <c r="D415" s="7"/>
      <c r="E415" s="7"/>
      <c r="F415" s="60"/>
      <c r="G415" s="65"/>
      <c r="H415" s="7"/>
      <c r="I415" s="60"/>
      <c r="J415" s="60"/>
      <c r="K415" s="60"/>
      <c r="L415" s="123"/>
      <c r="M415" s="7"/>
      <c r="N415" s="53" t="s">
        <v>1071</v>
      </c>
      <c r="O415" s="29" t="s">
        <v>993</v>
      </c>
      <c r="P415" s="30" t="str">
        <f t="shared" si="6"/>
        <v>亀山のいいとこさがし／手紙や本／手紙や記録など／豊臣秀吉朱印状</v>
      </c>
      <c r="Q415" s="133"/>
      <c r="R415" s="9"/>
    </row>
    <row r="416" spans="1:18" s="6" customFormat="1" ht="42.75" customHeight="1" x14ac:dyDescent="0.15">
      <c r="A416" s="36" t="s">
        <v>943</v>
      </c>
      <c r="B416" s="15">
        <v>16</v>
      </c>
      <c r="C416" s="15" t="s">
        <v>1072</v>
      </c>
      <c r="D416" s="15">
        <v>1595</v>
      </c>
      <c r="E416" s="15" t="s">
        <v>20</v>
      </c>
      <c r="F416" s="62"/>
      <c r="G416" s="36" t="s">
        <v>1073</v>
      </c>
      <c r="H416" s="15" t="s">
        <v>1074</v>
      </c>
      <c r="I416" s="62"/>
      <c r="J416" s="62"/>
      <c r="K416" s="62" t="s">
        <v>1059</v>
      </c>
      <c r="L416" s="127" t="str">
        <f>HYPERLINK("http://kameyamarekihaku.jp/yane_no_nai/unit_leaf/A-8.pdf","歴博貸出ユニットA－８")</f>
        <v>歴博貸出ユニットA－８</v>
      </c>
      <c r="M416" s="15"/>
      <c r="N416" s="74" t="s">
        <v>1075</v>
      </c>
      <c r="O416" s="32" t="s">
        <v>1049</v>
      </c>
      <c r="P416" s="33" t="str">
        <f t="shared" si="6"/>
        <v>日本の歴史の中の亀山／近世の亀山／豊臣秀吉による統一事業と亀山市／豊臣秀吉が大名に与えた鈴鹿郡の村</v>
      </c>
      <c r="Q416" s="134" t="str">
        <f>HYPERLINK("http://kameyamarekihaku.jp/raikan_demae/130703_higashi.html","東小6年授業支援「豊臣秀吉の天下統一」")</f>
        <v>東小6年授業支援「豊臣秀吉の天下統一」</v>
      </c>
      <c r="R416" s="36" t="s">
        <v>1002</v>
      </c>
    </row>
    <row r="417" spans="1:18" s="6" customFormat="1" ht="34.5" customHeight="1" x14ac:dyDescent="0.15">
      <c r="A417" s="9"/>
      <c r="B417" s="7"/>
      <c r="C417" s="7"/>
      <c r="D417" s="7"/>
      <c r="E417" s="7"/>
      <c r="F417" s="60"/>
      <c r="G417" s="9"/>
      <c r="H417" s="7"/>
      <c r="I417" s="60"/>
      <c r="J417" s="60"/>
      <c r="K417" s="60"/>
      <c r="L417" s="123"/>
      <c r="M417" s="7"/>
      <c r="N417" s="53" t="s">
        <v>992</v>
      </c>
      <c r="O417" s="29" t="s">
        <v>993</v>
      </c>
      <c r="P417" s="30" t="str">
        <f t="shared" si="6"/>
        <v>亀山のいいとこさがし／手紙や本／手紙や記録など／豊臣秀吉朱印状</v>
      </c>
      <c r="Q417" s="133"/>
      <c r="R417" s="9"/>
    </row>
    <row r="418" spans="1:18" s="6" customFormat="1" ht="27" x14ac:dyDescent="0.15">
      <c r="A418" s="11" t="s">
        <v>943</v>
      </c>
      <c r="B418" s="11">
        <v>16</v>
      </c>
      <c r="C418" s="11" t="s">
        <v>1076</v>
      </c>
      <c r="D418" s="11">
        <v>1597</v>
      </c>
      <c r="E418" s="11" t="s">
        <v>20</v>
      </c>
      <c r="F418" s="61" t="s">
        <v>1053</v>
      </c>
      <c r="G418" s="61"/>
      <c r="H418" s="61"/>
      <c r="I418" s="11"/>
      <c r="J418" s="11"/>
      <c r="K418" s="61"/>
      <c r="L418" s="11"/>
      <c r="M418" s="11"/>
      <c r="N418" s="12"/>
      <c r="O418" s="12" t="e">
        <v>#VALUE!</v>
      </c>
      <c r="P418" s="13" t="str">
        <f t="shared" si="6"/>
        <v/>
      </c>
      <c r="Q418" s="14"/>
      <c r="R418" s="11"/>
    </row>
    <row r="419" spans="1:18" s="6" customFormat="1" ht="36" customHeight="1" x14ac:dyDescent="0.15">
      <c r="A419" s="15" t="s">
        <v>943</v>
      </c>
      <c r="B419" s="15">
        <v>16</v>
      </c>
      <c r="C419" s="15" t="s">
        <v>1077</v>
      </c>
      <c r="D419" s="15">
        <v>1600</v>
      </c>
      <c r="E419" s="15" t="s">
        <v>20</v>
      </c>
      <c r="F419" s="62" t="s">
        <v>1078</v>
      </c>
      <c r="G419" s="62"/>
      <c r="H419" s="62"/>
      <c r="I419" s="15"/>
      <c r="J419" s="15"/>
      <c r="K419" s="62"/>
      <c r="L419" s="15"/>
      <c r="M419" s="15"/>
      <c r="N419" s="34" t="s">
        <v>194</v>
      </c>
      <c r="O419" s="34" t="s">
        <v>195</v>
      </c>
      <c r="P419" s="35" t="str">
        <f t="shared" si="6"/>
        <v>古典に出てくる亀山／物語／戦いの話</v>
      </c>
      <c r="Q419" s="36"/>
      <c r="R419" s="15"/>
    </row>
    <row r="420" spans="1:18" s="6" customFormat="1" ht="45" customHeight="1" x14ac:dyDescent="0.15">
      <c r="A420" s="7"/>
      <c r="B420" s="7"/>
      <c r="C420" s="7"/>
      <c r="D420" s="7"/>
      <c r="E420" s="7"/>
      <c r="F420" s="60"/>
      <c r="G420" s="60"/>
      <c r="H420" s="60"/>
      <c r="I420" s="7"/>
      <c r="J420" s="7"/>
      <c r="K420" s="60"/>
      <c r="L420" s="7"/>
      <c r="M420" s="7"/>
      <c r="N420" s="86" t="s">
        <v>1079</v>
      </c>
      <c r="O420" s="86" t="s">
        <v>1080</v>
      </c>
      <c r="P420" s="87" t="str">
        <f t="shared" si="6"/>
        <v>日本の歴史の中の亀山／近世の亀山／江戸幕府の成立と鎖国／関ヶ原の戦いと岡本下野守</v>
      </c>
      <c r="Q420" s="9"/>
      <c r="R420" s="7"/>
    </row>
    <row r="421" spans="1:18" s="6" customFormat="1" ht="30" customHeight="1" x14ac:dyDescent="0.15">
      <c r="A421" s="15" t="s">
        <v>943</v>
      </c>
      <c r="B421" s="15">
        <v>16</v>
      </c>
      <c r="C421" s="15" t="s">
        <v>1077</v>
      </c>
      <c r="D421" s="15">
        <v>1600</v>
      </c>
      <c r="E421" s="15" t="s">
        <v>20</v>
      </c>
      <c r="F421" s="62"/>
      <c r="G421" s="62" t="s">
        <v>1081</v>
      </c>
      <c r="H421" s="15" t="s">
        <v>28</v>
      </c>
      <c r="I421" s="15" t="s">
        <v>1082</v>
      </c>
      <c r="J421" s="16" t="str">
        <f>HYPERLINK("http://kameyamarekihaku.jp/sisi/tuusiHP_next/kochuusei/image/10/gi.htm?pf=1310sh192.JPG&amp;?pn=%20%E5%9C%B0%E8%94%B5%E9%99%A2%EF%BC%88%E9%96%A2%E7%94%BA%E6%96%B0%E6%89%80%EF%BC%89","関地蔵院")</f>
        <v>関地蔵院</v>
      </c>
      <c r="K421" s="15" t="s">
        <v>964</v>
      </c>
      <c r="L421" s="15"/>
      <c r="M421" s="15"/>
      <c r="N421" s="34" t="s">
        <v>1083</v>
      </c>
      <c r="O421" s="34" t="s">
        <v>774</v>
      </c>
      <c r="P421" s="35" t="str">
        <f t="shared" si="6"/>
        <v>亀山のいいとこさがし／建物</v>
      </c>
      <c r="Q421" s="36"/>
      <c r="R421" s="15" t="s">
        <v>1084</v>
      </c>
    </row>
    <row r="422" spans="1:18" s="6" customFormat="1" ht="66" customHeight="1" x14ac:dyDescent="0.15">
      <c r="A422" s="7"/>
      <c r="B422" s="7"/>
      <c r="C422" s="7"/>
      <c r="D422" s="7"/>
      <c r="E422" s="7"/>
      <c r="F422" s="60"/>
      <c r="G422" s="60"/>
      <c r="H422" s="7"/>
      <c r="I422" s="7"/>
      <c r="J422" s="18"/>
      <c r="K422" s="7"/>
      <c r="L422" s="7"/>
      <c r="M422" s="7"/>
      <c r="N422" s="86" t="s">
        <v>775</v>
      </c>
      <c r="O422" s="86" t="s">
        <v>776</v>
      </c>
      <c r="P422" s="87" t="str">
        <f t="shared" si="6"/>
        <v>亀山のいいとこさがし／景色のよいところや歴史を知る手掛かりとなるもの／関宿のまちなみ／新所のまちなみ／地蔵院本堂・鐘楼・愛染堂</v>
      </c>
      <c r="Q422" s="9"/>
      <c r="R422" s="7"/>
    </row>
    <row r="423" spans="1:18" s="6" customFormat="1" ht="62.25" customHeight="1" x14ac:dyDescent="0.15">
      <c r="A423" s="11" t="s">
        <v>943</v>
      </c>
      <c r="B423" s="11">
        <v>16</v>
      </c>
      <c r="C423" s="11" t="s">
        <v>1077</v>
      </c>
      <c r="D423" s="11">
        <v>1600</v>
      </c>
      <c r="E423" s="11" t="s">
        <v>20</v>
      </c>
      <c r="F423" s="11"/>
      <c r="G423" s="11" t="s">
        <v>1085</v>
      </c>
      <c r="H423" s="11" t="s">
        <v>468</v>
      </c>
      <c r="I423" s="11" t="s">
        <v>719</v>
      </c>
      <c r="J423" s="135" t="s">
        <v>1086</v>
      </c>
      <c r="K423" s="11" t="s">
        <v>951</v>
      </c>
      <c r="L423" s="11"/>
      <c r="M423" s="11"/>
      <c r="N423" s="29" t="s">
        <v>1087</v>
      </c>
      <c r="O423" s="29" t="s">
        <v>956</v>
      </c>
      <c r="P423" s="30" t="str">
        <f t="shared" si="6"/>
        <v>亀山城と宿場／安土桃山時代の亀山城主／岡本良勝の出身</v>
      </c>
      <c r="Q423" s="10" t="str">
        <f>HYPERLINK("http:/kameyamarekihaku.jp/sisi/KoukoHP/iseki.html","市史考古編遺跡一覧N0.66")</f>
        <v>市史考古編遺跡一覧N0.66</v>
      </c>
      <c r="R423" s="11" t="s">
        <v>1088</v>
      </c>
    </row>
    <row r="424" spans="1:18" s="6" customFormat="1" ht="37.5" customHeight="1" x14ac:dyDescent="0.15">
      <c r="A424" s="11" t="s">
        <v>943</v>
      </c>
      <c r="B424" s="11">
        <v>16</v>
      </c>
      <c r="C424" s="11" t="s">
        <v>1077</v>
      </c>
      <c r="D424" s="11">
        <v>1600</v>
      </c>
      <c r="E424" s="11" t="s">
        <v>20</v>
      </c>
      <c r="F424" s="11"/>
      <c r="G424" s="11" t="s">
        <v>1089</v>
      </c>
      <c r="H424" s="11" t="s">
        <v>28</v>
      </c>
      <c r="I424" s="11" t="s">
        <v>1082</v>
      </c>
      <c r="J424" s="22" t="str">
        <f>HYPERLINK("http://kameyamarekihaku.jp/sisi/koukoHP/archives/sinnjyosiro/01/01-01/gi.html?pf=SINJ0101-01-003.jpg&amp;pn=%E6%96%B0%E6%89%80%E5%9F%8E%E8%B7%A1%EF%BC%88%E5%9F%8E%E5%B1%B1%E9%81%A0%E6%99%AF%EF%BC%89","新所城")</f>
        <v>新所城</v>
      </c>
      <c r="K424" s="11"/>
      <c r="L424" s="11"/>
      <c r="M424" s="11"/>
      <c r="N424" s="29"/>
      <c r="O424" s="29" t="e">
        <v>#VALUE!</v>
      </c>
      <c r="P424" s="30" t="str">
        <f t="shared" si="6"/>
        <v/>
      </c>
      <c r="Q424" s="10" t="str">
        <f>HYPERLINK("http:/kameyamarekihaku.jp/sisi/KoukoHP/iseki.html","市史考古編遺跡一覧N0.59")</f>
        <v>市史考古編遺跡一覧N0.59</v>
      </c>
      <c r="R424" s="11" t="s">
        <v>1088</v>
      </c>
    </row>
    <row r="425" spans="1:18" s="6" customFormat="1" ht="32.25" customHeight="1" x14ac:dyDescent="0.15">
      <c r="A425" s="15" t="s">
        <v>943</v>
      </c>
      <c r="B425" s="15">
        <v>16</v>
      </c>
      <c r="C425" s="15" t="s">
        <v>1077</v>
      </c>
      <c r="D425" s="15">
        <v>1600</v>
      </c>
      <c r="E425" s="15" t="s">
        <v>20</v>
      </c>
      <c r="F425" s="62"/>
      <c r="G425" s="62" t="s">
        <v>1090</v>
      </c>
      <c r="H425" s="15" t="s">
        <v>468</v>
      </c>
      <c r="I425" s="15" t="s">
        <v>719</v>
      </c>
      <c r="J425" s="80" t="s">
        <v>1086</v>
      </c>
      <c r="K425" s="15" t="s">
        <v>1091</v>
      </c>
      <c r="L425" s="15"/>
      <c r="M425" s="15"/>
      <c r="N425" s="32" t="s">
        <v>1092</v>
      </c>
      <c r="O425" s="32" t="s">
        <v>1093</v>
      </c>
      <c r="P425" s="33" t="str">
        <f t="shared" si="6"/>
        <v>亀山城と宿場／亀山城と江戸幕府</v>
      </c>
      <c r="Q425" s="17" t="str">
        <f>HYPERLINK("http:/kameyamarekihaku.jp/sisi/tuusiHP_next/tuusi-index.html#kinsei0101","市史通史編 近世第1章第1節第2項")</f>
        <v>市史通史編 近世第1章第1節第2項</v>
      </c>
      <c r="R425" s="15" t="s">
        <v>1094</v>
      </c>
    </row>
    <row r="426" spans="1:18" s="6" customFormat="1" ht="48" customHeight="1" x14ac:dyDescent="0.15">
      <c r="A426" s="7"/>
      <c r="B426" s="7"/>
      <c r="C426" s="7"/>
      <c r="D426" s="7"/>
      <c r="E426" s="7"/>
      <c r="F426" s="60"/>
      <c r="G426" s="60"/>
      <c r="H426" s="7"/>
      <c r="I426" s="7"/>
      <c r="J426" s="107"/>
      <c r="K426" s="7"/>
      <c r="L426" s="7"/>
      <c r="M426" s="7"/>
      <c r="N426" s="29" t="s">
        <v>1087</v>
      </c>
      <c r="O426" s="29" t="s">
        <v>956</v>
      </c>
      <c r="P426" s="30" t="str">
        <f t="shared" si="6"/>
        <v>亀山城と宿場／安土桃山時代の亀山城主／岡本良勝の出身</v>
      </c>
      <c r="Q426" s="10"/>
      <c r="R426" s="7"/>
    </row>
    <row r="427" spans="1:18" s="6" customFormat="1" ht="32.25" customHeight="1" x14ac:dyDescent="0.15">
      <c r="A427" s="11" t="s">
        <v>943</v>
      </c>
      <c r="B427" s="11">
        <v>16</v>
      </c>
      <c r="C427" s="11" t="s">
        <v>1077</v>
      </c>
      <c r="D427" s="11">
        <v>1600</v>
      </c>
      <c r="E427" s="11" t="s">
        <v>20</v>
      </c>
      <c r="F427" s="11"/>
      <c r="G427" s="11" t="s">
        <v>1095</v>
      </c>
      <c r="H427" s="11" t="s">
        <v>199</v>
      </c>
      <c r="I427" s="11" t="s">
        <v>1096</v>
      </c>
      <c r="J427" s="11" t="s">
        <v>1097</v>
      </c>
      <c r="K427" s="11" t="s">
        <v>1098</v>
      </c>
      <c r="L427" s="11"/>
      <c r="M427" s="11"/>
      <c r="N427" s="12" t="s">
        <v>194</v>
      </c>
      <c r="O427" s="12" t="s">
        <v>195</v>
      </c>
      <c r="P427" s="13" t="str">
        <f t="shared" si="6"/>
        <v>古典に出てくる亀山／物語／戦いの話</v>
      </c>
      <c r="Q427" s="14"/>
      <c r="R427" s="11" t="s">
        <v>1099</v>
      </c>
    </row>
    <row r="428" spans="1:18" s="6" customFormat="1" ht="34.5" customHeight="1" x14ac:dyDescent="0.15">
      <c r="A428" s="15" t="s">
        <v>943</v>
      </c>
      <c r="B428" s="15">
        <v>16</v>
      </c>
      <c r="C428" s="15" t="s">
        <v>1077</v>
      </c>
      <c r="D428" s="15">
        <v>1600</v>
      </c>
      <c r="E428" s="15" t="s">
        <v>20</v>
      </c>
      <c r="F428" s="15"/>
      <c r="G428" s="15" t="s">
        <v>1100</v>
      </c>
      <c r="H428" s="15"/>
      <c r="I428" s="15"/>
      <c r="J428" s="15" t="s">
        <v>1101</v>
      </c>
      <c r="K428" s="15" t="s">
        <v>1102</v>
      </c>
      <c r="L428" s="15" t="s">
        <v>1021</v>
      </c>
      <c r="M428" s="15"/>
      <c r="N428" s="74" t="s">
        <v>642</v>
      </c>
      <c r="O428" s="32" t="s">
        <v>643</v>
      </c>
      <c r="P428" s="33" t="str">
        <f t="shared" si="6"/>
        <v>亀山城と宿場／鎌倉時代～安土桃山時代の亀山城主</v>
      </c>
      <c r="Q428" s="17" t="str">
        <f>HYPERLINK("http:/kameyamarekihaku.jp/sisi/tuusiHP_next/tuusi-index.html#kinsei0201","市史通史編 近世第2章第1節")</f>
        <v>市史通史編 近世第2章第1節</v>
      </c>
      <c r="R428" s="298" t="s">
        <v>1103</v>
      </c>
    </row>
    <row r="429" spans="1:18" s="6" customFormat="1" ht="30.75" customHeight="1" x14ac:dyDescent="0.15">
      <c r="A429" s="26"/>
      <c r="B429" s="26"/>
      <c r="C429" s="26"/>
      <c r="D429" s="26"/>
      <c r="E429" s="26"/>
      <c r="F429" s="26"/>
      <c r="G429" s="26"/>
      <c r="H429" s="26"/>
      <c r="I429" s="26"/>
      <c r="J429" s="26"/>
      <c r="K429" s="26"/>
      <c r="L429" s="26"/>
      <c r="M429" s="26"/>
      <c r="N429" s="42" t="s">
        <v>1104</v>
      </c>
      <c r="O429" s="19" t="s">
        <v>990</v>
      </c>
      <c r="P429" s="20" t="str">
        <f t="shared" si="6"/>
        <v>亀山城と宿場／江戸時代の亀山城主／関一政</v>
      </c>
      <c r="Q429" s="21" t="str">
        <f>HYPERLINK("http:/kameyamarekihaku.jp/sisi/RekisiHP/kinsei/jousyu.html","市史近世ページ　亀山城主のうつりかわり")</f>
        <v>市史近世ページ　亀山城主のうつりかわり</v>
      </c>
      <c r="R429" s="316"/>
    </row>
    <row r="430" spans="1:18" s="6" customFormat="1" ht="48.75" customHeight="1" x14ac:dyDescent="0.15">
      <c r="A430" s="7"/>
      <c r="B430" s="7"/>
      <c r="C430" s="7"/>
      <c r="D430" s="7"/>
      <c r="E430" s="7"/>
      <c r="F430" s="7"/>
      <c r="G430" s="7"/>
      <c r="H430" s="7"/>
      <c r="I430" s="7"/>
      <c r="J430" s="7"/>
      <c r="K430" s="7"/>
      <c r="L430" s="7"/>
      <c r="M430" s="7"/>
      <c r="N430" s="53" t="s">
        <v>1105</v>
      </c>
      <c r="O430" s="29" t="s">
        <v>1106</v>
      </c>
      <c r="P430" s="30" t="str">
        <f t="shared" si="6"/>
        <v>日本の歴史の中の亀山／近世の亀山／江戸幕府の成立と鎖国／大名領地が定まるまでのようす</v>
      </c>
      <c r="Q430" s="10"/>
      <c r="R430" s="9"/>
    </row>
    <row r="431" spans="1:18" s="139" customFormat="1" ht="30.75" customHeight="1" x14ac:dyDescent="0.15">
      <c r="A431" s="136" t="s">
        <v>1107</v>
      </c>
      <c r="B431" s="136">
        <v>17</v>
      </c>
      <c r="C431" s="137" t="s">
        <v>1108</v>
      </c>
      <c r="D431" s="137">
        <v>1601</v>
      </c>
      <c r="E431" s="138" t="s">
        <v>20</v>
      </c>
      <c r="F431" s="137"/>
      <c r="G431" s="345" t="s">
        <v>1109</v>
      </c>
      <c r="H431" s="332" t="s">
        <v>1110</v>
      </c>
      <c r="I431" s="137"/>
      <c r="J431" s="76" t="str">
        <f>HYPERLINK("http://kameyamarekihaku.jp/sisi/koukoHP/archives/kamejyougennjyo/01/01-01/gi.html?pf=KJGNJY0101-01-010.JPG&amp;pn=%E6%9D%B1%E7%94%BA%EF%BC%88%E4%BA%80%E5%B1%B1%E5%AE%BF%E3%81%AE%E5%B1%8B%E5%8F%B7%E3%81%AE%E7%9C%8B%E6%9D%BF%E3%81%8C%E3%81%82%E3%82%8B%EF%BC%89","亀山宿")</f>
        <v>亀山宿</v>
      </c>
      <c r="K431" s="136"/>
      <c r="L431" s="347" t="s">
        <v>1111</v>
      </c>
      <c r="M431" s="136"/>
      <c r="N431" s="105" t="s">
        <v>1112</v>
      </c>
      <c r="O431" s="105" t="s">
        <v>923</v>
      </c>
      <c r="P431" s="106" t="str">
        <f t="shared" si="6"/>
        <v>むかしの道と交通／亀山の近世の道</v>
      </c>
      <c r="Q431" s="28" t="str">
        <f>HYPERLINK("http://kameyamarekihaku.jp/raikan_demae/141112_kameyama_cyu.html","亀中2年授業支援「東海道と亀山宿」")</f>
        <v>亀中2年授業支援「東海道と亀山宿」</v>
      </c>
      <c r="R431" s="332" t="s">
        <v>1113</v>
      </c>
    </row>
    <row r="432" spans="1:18" s="139" customFormat="1" ht="17.25" customHeight="1" x14ac:dyDescent="0.15">
      <c r="A432" s="136"/>
      <c r="B432" s="136"/>
      <c r="C432" s="137"/>
      <c r="D432" s="137"/>
      <c r="E432" s="138"/>
      <c r="F432" s="137"/>
      <c r="G432" s="346"/>
      <c r="H432" s="332"/>
      <c r="I432" s="137"/>
      <c r="J432" s="76"/>
      <c r="K432" s="136"/>
      <c r="L432" s="332"/>
      <c r="M432" s="136"/>
      <c r="N432" s="19" t="s">
        <v>924</v>
      </c>
      <c r="O432" s="19" t="s">
        <v>925</v>
      </c>
      <c r="P432" s="20" t="str">
        <f t="shared" si="6"/>
        <v>亀山城と宿場／４つの宿場</v>
      </c>
      <c r="Q432" s="21" t="str">
        <f>HYPERLINK("http:/kameyamarekihaku.jp/sisi/tuusiHP_next/tuusi-index.html#kinsei0301","市史通史編 近世第3章第1節")</f>
        <v>市史通史編 近世第3章第1節</v>
      </c>
      <c r="R432" s="332"/>
    </row>
    <row r="433" spans="1:18" s="139" customFormat="1" ht="30.75" customHeight="1" x14ac:dyDescent="0.15">
      <c r="A433" s="140" t="str">
        <f>HYPERLINK("","")</f>
        <v/>
      </c>
      <c r="B433" s="136"/>
      <c r="C433" s="137"/>
      <c r="D433" s="137"/>
      <c r="E433" s="138"/>
      <c r="F433" s="137"/>
      <c r="G433" s="141"/>
      <c r="H433" s="332"/>
      <c r="I433" s="137"/>
      <c r="J433" s="76"/>
      <c r="K433" s="136"/>
      <c r="L433" s="76" t="str">
        <f>HYPERLINK("http://kameyamarekihaku.jp/sisi/tuusiHP_next/kochuusei/image/05/gi.htm?pf=1179sh098.JPG&amp;?pn=%20%E3%80%8E%E6%9D%B1%E6%B5%B7%E9%81%93%E5%90%8D%E6%89%80%E5%9B%B3%E4%BC%9A%E3%80%8F%E3%81%AE%E9%88%B4%E9%B9%BF%E7%A4%BE","『東海道名所図会』（鈴鹿社）")</f>
        <v>『東海道名所図会』（鈴鹿社）</v>
      </c>
      <c r="M433" s="136"/>
      <c r="N433" s="19" t="s">
        <v>1114</v>
      </c>
      <c r="O433" s="19" t="s">
        <v>1115</v>
      </c>
      <c r="P433" s="20" t="str">
        <f t="shared" si="6"/>
        <v>亀山城と宿場／宿場町とは何でしょう／徳川家康の街道整備</v>
      </c>
      <c r="Q433" s="21" t="str">
        <f>HYPERLINK("http://www.kameyamarekihaku.jp/sisi/seckam3/chizukouko.php","市史考古分野(各コンテンツ)「亀山城下町を歩く」")</f>
        <v>市史考古分野(各コンテンツ)「亀山城下町を歩く」</v>
      </c>
      <c r="R433" s="332"/>
    </row>
    <row r="434" spans="1:18" s="139" customFormat="1" ht="45" customHeight="1" x14ac:dyDescent="0.15">
      <c r="A434" s="140"/>
      <c r="B434" s="136"/>
      <c r="C434" s="137"/>
      <c r="D434" s="137"/>
      <c r="E434" s="138"/>
      <c r="F434" s="137"/>
      <c r="G434" s="141"/>
      <c r="H434" s="332"/>
      <c r="I434" s="137"/>
      <c r="J434" s="76" t="str">
        <f>HYPERLINK("http://kameyamarekihaku.jp/sisi/tuusiHP_next/kingendai/image/09/gi.htm?pf=3112sh009-21.JPG&amp;?pn=%E9%96%A2%E5%AE%BF%EF%BC%88%E5%B9%B3%E6%88%9016%E5%B9%B4%EF%BC%89","関宿")</f>
        <v>関宿</v>
      </c>
      <c r="K434" s="136"/>
      <c r="L434" s="76" t="str">
        <f>HYPERLINK("http://kameyamarekihaku.jp/sisi/siryou1/kawakitake/1/1-001/gi_auto.html?pf=kawaki01001-004.JPG&amp;pn=%E5%AE%9A%EF%BC%88%E9%A7%92%E5%BC%95%E3%81%AE%E6%9C%B1%E5%8D%B0%E7%8A%B6%EF%BC%89","画像史料：関地蔵宛駒曳の朱印状")</f>
        <v>画像史料：関地蔵宛駒曳の朱印状</v>
      </c>
      <c r="M434" s="136"/>
      <c r="N434" s="19" t="s">
        <v>1116</v>
      </c>
      <c r="O434" s="19" t="s">
        <v>1117</v>
      </c>
      <c r="P434" s="20" t="str">
        <f t="shared" si="6"/>
        <v>日本の歴史の中の亀山／近世の亀山／江戸幕府の成立と鎖国／徳川家康の五街道整備と東海道</v>
      </c>
      <c r="Q434" s="21" t="str">
        <f>HYPERLINK("http://kameyamarekihaku.jp/21theme/zone4-kaido/zone4-kaido_top.html","過去の常設展示『亀山宿問屋若林家』")</f>
        <v>過去の常設展示『亀山宿問屋若林家』</v>
      </c>
      <c r="R434" s="332"/>
    </row>
    <row r="435" spans="1:18" s="139" customFormat="1" ht="50.25" customHeight="1" x14ac:dyDescent="0.15">
      <c r="A435" s="136"/>
      <c r="B435" s="136"/>
      <c r="C435" s="137"/>
      <c r="D435" s="137"/>
      <c r="E435" s="138"/>
      <c r="F435" s="137"/>
      <c r="G435" s="141"/>
      <c r="H435" s="332"/>
      <c r="I435" s="137"/>
      <c r="J435" s="76"/>
      <c r="K435" s="136"/>
      <c r="L435" s="76" t="str">
        <f>HYPERLINK("http://kameyamarekihaku.jp/sisi/siryou1/kawakitake/3/3-001-01/gi_auto.html?pf=kawaki0300101-002.JPG&amp;pn=%E5%BE%A1%E4%BC%9D%E9%A6%AC%E4%B9%8B%E5%AE%9A","画像史料：関地蔵宛伝馬定書")</f>
        <v>画像史料：関地蔵宛伝馬定書</v>
      </c>
      <c r="M435" s="136"/>
      <c r="N435" s="19" t="s">
        <v>1118</v>
      </c>
      <c r="O435" s="19" t="s">
        <v>1119</v>
      </c>
      <c r="P435" s="20" t="str">
        <f t="shared" si="6"/>
        <v>日本の歴史の中の亀山／近世の亀山／農業や諸産業の発達／亀山市域にみる江戸時代の街道</v>
      </c>
      <c r="Q435" s="21" t="str">
        <f>HYPERLINK("http://kameyamarekihaku.jp/22theme/zone5/shousai.html","過去の常設展示『関宿本陣問屋の家〜川北家〜』")</f>
        <v>過去の常設展示『関宿本陣問屋の家〜川北家〜』</v>
      </c>
      <c r="R435" s="332"/>
    </row>
    <row r="436" spans="1:18" s="139" customFormat="1" ht="32.25" customHeight="1" x14ac:dyDescent="0.15">
      <c r="A436" s="136"/>
      <c r="B436" s="136"/>
      <c r="C436" s="137"/>
      <c r="D436" s="137"/>
      <c r="E436" s="138"/>
      <c r="F436" s="137"/>
      <c r="G436" s="141"/>
      <c r="H436" s="332"/>
      <c r="I436" s="137"/>
      <c r="J436" s="115" t="s">
        <v>1120</v>
      </c>
      <c r="K436" s="136"/>
      <c r="L436" s="76" t="str">
        <f>HYPERLINK("http://kameyamarekihaku.jp/sisi/tuusiHP_next/kochuusei/image/10/gi.htm?pf=1309sh191.JPG&amp;?pn=%20%E3%80%8E%E6%9D%B1%E6%B5%B7%E9%81%93%E5%90%8D%E6%89%80%E5%9B%B3%E4%BC%9A%E3%80%8F%E3%81%AB%E8%A6%8B%E3%82%8B%E5%9D%82%E4%B8%8B%E5%AE%BF","『東海道名所図会』（坂下宿） ")</f>
        <v xml:space="preserve">『東海道名所図会』（坂下宿） </v>
      </c>
      <c r="M436" s="136"/>
      <c r="N436" s="19" t="s">
        <v>1121</v>
      </c>
      <c r="O436" s="19" t="s">
        <v>1122</v>
      </c>
      <c r="P436" s="20" t="str">
        <f t="shared" si="6"/>
        <v>日本の歴史の中の亀山／近世の亀山／街道の宿場町を歩く</v>
      </c>
      <c r="Q436" s="21" t="str">
        <f>HYPERLINK("http:/kameyamarekihaku.jp/sisi/tuusiHP_next/tuusi-index.html#kinsei0602","市史通史編 近世第6章第2節第6項")</f>
        <v>市史通史編 近世第6章第2節第6項</v>
      </c>
      <c r="R436" s="332"/>
    </row>
    <row r="437" spans="1:18" s="139" customFormat="1" ht="47.25" customHeight="1" x14ac:dyDescent="0.15">
      <c r="A437" s="136"/>
      <c r="B437" s="136"/>
      <c r="C437" s="137"/>
      <c r="D437" s="137"/>
      <c r="E437" s="138"/>
      <c r="F437" s="137"/>
      <c r="G437" s="141"/>
      <c r="H437" s="79"/>
      <c r="I437" s="137"/>
      <c r="J437" s="76"/>
      <c r="K437" s="136"/>
      <c r="L437" s="96" t="str">
        <f>HYPERLINK("http://kameyamarekihaku.jp/yane_no_nai/unit_leaf/A-12.pdf","歴博貸出ユニットA－12")</f>
        <v>歴博貸出ユニットA－12</v>
      </c>
      <c r="M437" s="136"/>
      <c r="N437" s="29" t="s">
        <v>1123</v>
      </c>
      <c r="O437" s="29" t="s">
        <v>1124</v>
      </c>
      <c r="P437" s="30" t="str">
        <f t="shared" si="6"/>
        <v>亀山のいいとこさがし／景色のよいところや歴史を知る手掛かりとなるもの／歴史上の場所／野村一里塚</v>
      </c>
      <c r="Q437" s="21" t="str">
        <f>HYPERLINK("http:/kameyamarekihaku.jp/sisi/RekisiHP/kinsei/toukaidousyukuba.jpg","東海道五十三次宿場一覧表")</f>
        <v>東海道五十三次宿場一覧表</v>
      </c>
      <c r="R437" s="332"/>
    </row>
    <row r="438" spans="1:18" s="139" customFormat="1" ht="26.25" customHeight="1" x14ac:dyDescent="0.15">
      <c r="A438" s="142" t="s">
        <v>1107</v>
      </c>
      <c r="B438" s="142">
        <v>17</v>
      </c>
      <c r="C438" s="143" t="s">
        <v>1125</v>
      </c>
      <c r="D438" s="143">
        <v>1603</v>
      </c>
      <c r="E438" s="144" t="s">
        <v>20</v>
      </c>
      <c r="F438" s="143" t="s">
        <v>1126</v>
      </c>
      <c r="G438" s="143"/>
      <c r="H438" s="142"/>
      <c r="I438" s="143"/>
      <c r="J438" s="142"/>
      <c r="K438" s="142"/>
      <c r="L438" s="142"/>
      <c r="M438" s="142"/>
      <c r="N438" s="23"/>
      <c r="O438" s="23" t="e">
        <v>#VALUE!</v>
      </c>
      <c r="P438" s="24" t="str">
        <f t="shared" si="6"/>
        <v/>
      </c>
      <c r="Q438" s="25" t="str">
        <f>HYPERLINK("http:/kameyamarekihaku.jp/sisi/tuusiHP_next/tuusi-index.html#kinsei0201","市史通史編 近世第2章第1節第3項")</f>
        <v>市史通史編 近世第2章第1節第3項</v>
      </c>
      <c r="R438" s="142" t="s">
        <v>1127</v>
      </c>
    </row>
    <row r="439" spans="1:18" s="139" customFormat="1" ht="30" customHeight="1" x14ac:dyDescent="0.15">
      <c r="A439" s="145" t="s">
        <v>1107</v>
      </c>
      <c r="B439" s="145">
        <v>17</v>
      </c>
      <c r="C439" s="146" t="s">
        <v>1128</v>
      </c>
      <c r="D439" s="146">
        <v>1604</v>
      </c>
      <c r="E439" s="147" t="s">
        <v>20</v>
      </c>
      <c r="F439" s="146"/>
      <c r="G439" s="345" t="s">
        <v>1129</v>
      </c>
      <c r="H439" s="145" t="s">
        <v>1130</v>
      </c>
      <c r="I439" s="148" t="s">
        <v>1131</v>
      </c>
      <c r="J439" s="76" t="str">
        <f>HYPERLINK("http://kameyamarekihaku.jp/sisi/MinzokuHP/jirei/bunrui5/data5-1/gi.htm?pf=DSC04050.jpg&amp;pn=%E9%87%8E%E6%9D%91%E3%81%AE%E4%B8%80%E9%87%8C%E5%A1%9A%EF%BC%88%E9%87%8E%E6%9D%91%E7%94%BA%EF%BC%89","野村一里塚")</f>
        <v>野村一里塚</v>
      </c>
      <c r="K439" s="145"/>
      <c r="L439" s="145" t="s">
        <v>1132</v>
      </c>
      <c r="M439" s="115" t="s">
        <v>1133</v>
      </c>
      <c r="N439" s="32" t="s">
        <v>1134</v>
      </c>
      <c r="O439" s="32" t="s">
        <v>1135</v>
      </c>
      <c r="P439" s="33" t="str">
        <f t="shared" si="6"/>
        <v>むかしの道と交通／亀山の近世の道／一里塚</v>
      </c>
      <c r="Q439" s="21" t="str">
        <f>HYPERLINK("http:/kameyamarekihaku.jp/sisi/KoukoHP/iseki.html","市史考古編遺跡一覧N0.3")</f>
        <v>市史考古編遺跡一覧N0.3</v>
      </c>
      <c r="R439" s="347" t="s">
        <v>1136</v>
      </c>
    </row>
    <row r="440" spans="1:18" s="139" customFormat="1" ht="32.25" customHeight="1" x14ac:dyDescent="0.15">
      <c r="A440" s="136"/>
      <c r="B440" s="136"/>
      <c r="C440" s="137"/>
      <c r="D440" s="137"/>
      <c r="E440" s="138"/>
      <c r="F440" s="149"/>
      <c r="G440" s="346"/>
      <c r="H440" s="136" t="s">
        <v>1137</v>
      </c>
      <c r="I440" s="150" t="s">
        <v>1138</v>
      </c>
      <c r="J440" s="136" t="s">
        <v>1139</v>
      </c>
      <c r="K440" s="136"/>
      <c r="L440" s="76" t="str">
        <f>HYPERLINK("http://kameyamarekihaku.jp/sisi/tuusiHP_next/kingendai/image/09/gi.htm?pf=3090sh009-05.JPG&amp;?pn=%E5%BE%80%E6%99%82%E3%81%AE%E9%87%8E%E6%9D%91%E4%B8%80%E9%87%8C%E5%A1%9A","画像史料：往時の野村一里塚")</f>
        <v>画像史料：往時の野村一里塚</v>
      </c>
      <c r="M440" s="115" t="s">
        <v>1140</v>
      </c>
      <c r="N440" s="19" t="s">
        <v>1141</v>
      </c>
      <c r="O440" s="19" t="s">
        <v>1115</v>
      </c>
      <c r="P440" s="20" t="str">
        <f t="shared" si="6"/>
        <v>亀山城と宿場／宿場町とは何でしょう／徳川家康の街道整備</v>
      </c>
      <c r="Q440" s="21" t="str">
        <f>HYPERLINK("http:/kameyamarekihaku.jp/sisi/tuusiHP_next/tuusi-index.html#kinsei0301","市史通史編 近世第3章第1節")</f>
        <v>市史通史編 近世第3章第1節</v>
      </c>
      <c r="R440" s="332"/>
    </row>
    <row r="441" spans="1:18" s="139" customFormat="1" ht="51.75" customHeight="1" x14ac:dyDescent="0.15">
      <c r="A441" s="136"/>
      <c r="B441" s="136"/>
      <c r="C441" s="137"/>
      <c r="D441" s="137"/>
      <c r="E441" s="138"/>
      <c r="F441" s="149"/>
      <c r="G441" s="346"/>
      <c r="H441" s="136" t="s">
        <v>1142</v>
      </c>
      <c r="I441" s="150" t="s">
        <v>1143</v>
      </c>
      <c r="J441" s="136" t="s">
        <v>1144</v>
      </c>
      <c r="K441" s="136"/>
      <c r="L441" s="136"/>
      <c r="M441" s="140" t="s">
        <v>1145</v>
      </c>
      <c r="N441" s="19" t="s">
        <v>1146</v>
      </c>
      <c r="O441" s="19" t="s">
        <v>1117</v>
      </c>
      <c r="P441" s="20" t="str">
        <f t="shared" si="6"/>
        <v>日本の歴史の中の亀山／近世の亀山／江戸幕府の成立と鎖国／徳川家康の五街道整備と東海道</v>
      </c>
      <c r="Q441" s="21"/>
      <c r="R441" s="332"/>
    </row>
    <row r="442" spans="1:18" s="139" customFormat="1" ht="48" customHeight="1" x14ac:dyDescent="0.15">
      <c r="A442" s="136"/>
      <c r="B442" s="136"/>
      <c r="C442" s="137"/>
      <c r="D442" s="137"/>
      <c r="E442" s="138"/>
      <c r="F442" s="137"/>
      <c r="G442" s="141"/>
      <c r="H442" s="136"/>
      <c r="I442" s="150"/>
      <c r="J442" s="136"/>
      <c r="K442" s="136"/>
      <c r="L442" s="136"/>
      <c r="M442" s="140"/>
      <c r="N442" s="19" t="s">
        <v>1147</v>
      </c>
      <c r="O442" s="19" t="s">
        <v>1119</v>
      </c>
      <c r="P442" s="20" t="str">
        <f t="shared" si="6"/>
        <v>日本の歴史の中の亀山／近世の亀山／農業や諸産業の発達／亀山市域にみる江戸時代の街道</v>
      </c>
      <c r="Q442" s="21"/>
      <c r="R442" s="79"/>
    </row>
    <row r="443" spans="1:18" s="139" customFormat="1" ht="51.75" customHeight="1" x14ac:dyDescent="0.15">
      <c r="A443" s="151"/>
      <c r="B443" s="151"/>
      <c r="C443" s="152"/>
      <c r="D443" s="152"/>
      <c r="E443" s="153"/>
      <c r="F443" s="152"/>
      <c r="G443" s="154"/>
      <c r="H443" s="151"/>
      <c r="I443" s="155"/>
      <c r="J443" s="151"/>
      <c r="K443" s="151"/>
      <c r="L443" s="151"/>
      <c r="M443" s="156"/>
      <c r="N443" s="29" t="s">
        <v>1148</v>
      </c>
      <c r="O443" s="29" t="s">
        <v>1124</v>
      </c>
      <c r="P443" s="30" t="str">
        <f t="shared" si="6"/>
        <v>亀山のいいとこさがし／景色のよいところや歴史を知る手掛かりとなるもの／歴史上の場所／野村一里塚</v>
      </c>
      <c r="Q443" s="10"/>
      <c r="R443" s="157"/>
    </row>
    <row r="444" spans="1:18" s="139" customFormat="1" ht="35.25" customHeight="1" x14ac:dyDescent="0.15">
      <c r="A444" s="142" t="s">
        <v>1107</v>
      </c>
      <c r="B444" s="142">
        <v>17</v>
      </c>
      <c r="C444" s="143" t="s">
        <v>1149</v>
      </c>
      <c r="D444" s="143">
        <v>1605</v>
      </c>
      <c r="E444" s="144" t="s">
        <v>20</v>
      </c>
      <c r="F444" s="142"/>
      <c r="G444" s="143" t="s">
        <v>1150</v>
      </c>
      <c r="H444" s="142" t="s">
        <v>464</v>
      </c>
      <c r="I444" s="143"/>
      <c r="J444" s="142"/>
      <c r="K444" s="142" t="s">
        <v>1151</v>
      </c>
      <c r="L444" s="142"/>
      <c r="M444" s="142"/>
      <c r="N444" s="12" t="s">
        <v>1152</v>
      </c>
      <c r="O444" s="12" t="s">
        <v>1153</v>
      </c>
      <c r="P444" s="13" t="str">
        <f t="shared" si="6"/>
        <v>亀山城と宿場／亀山城と江戸幕府／亀山城に泊まった将軍／徳川家康</v>
      </c>
      <c r="Q444" s="158"/>
      <c r="R444" s="142" t="s">
        <v>1154</v>
      </c>
    </row>
    <row r="445" spans="1:18" s="139" customFormat="1" ht="21" customHeight="1" x14ac:dyDescent="0.15">
      <c r="A445" s="145" t="s">
        <v>1107</v>
      </c>
      <c r="B445" s="145">
        <v>17</v>
      </c>
      <c r="C445" s="146" t="s">
        <v>1155</v>
      </c>
      <c r="D445" s="146">
        <v>1610</v>
      </c>
      <c r="E445" s="147" t="s">
        <v>20</v>
      </c>
      <c r="F445" s="146"/>
      <c r="G445" s="345" t="s">
        <v>1156</v>
      </c>
      <c r="H445" s="145" t="s">
        <v>464</v>
      </c>
      <c r="I445" s="146" t="s">
        <v>1157</v>
      </c>
      <c r="J445" s="117" t="s">
        <v>1158</v>
      </c>
      <c r="K445" s="145" t="s">
        <v>1159</v>
      </c>
      <c r="L445" s="145"/>
      <c r="M445" s="145"/>
      <c r="N445" s="32" t="s">
        <v>1160</v>
      </c>
      <c r="O445" s="32" t="s">
        <v>1024</v>
      </c>
      <c r="P445" s="33" t="str">
        <f t="shared" si="6"/>
        <v>亀山城と宿場／亀山城のつくり</v>
      </c>
      <c r="Q445" s="17" t="str">
        <f>HYPERLINK("http:/kameyamarekihaku.jp/sisi/tuusiHP_next/tuusi-index.html#kinsei0201","市史通史編 近世第2章第1節第5項")</f>
        <v>市史通史編 近世第2章第1節第5項</v>
      </c>
      <c r="R445" s="347" t="s">
        <v>1161</v>
      </c>
    </row>
    <row r="446" spans="1:18" s="139" customFormat="1" ht="42" customHeight="1" x14ac:dyDescent="0.15">
      <c r="A446" s="151"/>
      <c r="B446" s="151"/>
      <c r="C446" s="152"/>
      <c r="D446" s="152"/>
      <c r="E446" s="153"/>
      <c r="F446" s="152"/>
      <c r="G446" s="353"/>
      <c r="H446" s="151"/>
      <c r="I446" s="152"/>
      <c r="J446" s="102"/>
      <c r="K446" s="151"/>
      <c r="L446" s="151"/>
      <c r="M446" s="151"/>
      <c r="N446" s="29" t="s">
        <v>1162</v>
      </c>
      <c r="O446" s="29" t="s">
        <v>1163</v>
      </c>
      <c r="P446" s="30" t="str">
        <f t="shared" si="6"/>
        <v>亀山城と宿場／江戸時代の亀山城主／松平忠明（奥平）</v>
      </c>
      <c r="Q446" s="10" t="str">
        <f>HYPERLINK("http:/kameyamarekihaku.jp/sisi/RekisiHP/kinsei/jousyu.html","市史近世ページ　亀山城主のうつりかわり")</f>
        <v>市史近世ページ　亀山城主のうつりかわり</v>
      </c>
      <c r="R446" s="348"/>
    </row>
    <row r="447" spans="1:18" s="139" customFormat="1" ht="13.15" customHeight="1" x14ac:dyDescent="0.15">
      <c r="A447" s="142" t="s">
        <v>1107</v>
      </c>
      <c r="B447" s="142">
        <v>17</v>
      </c>
      <c r="C447" s="143"/>
      <c r="D447" s="143"/>
      <c r="E447" s="144" t="s">
        <v>59</v>
      </c>
      <c r="F447" s="143" t="s">
        <v>1164</v>
      </c>
      <c r="G447" s="143"/>
      <c r="H447" s="142"/>
      <c r="I447" s="143"/>
      <c r="J447" s="142"/>
      <c r="K447" s="142"/>
      <c r="L447" s="142"/>
      <c r="M447" s="142"/>
      <c r="N447" s="12"/>
      <c r="O447" s="12" t="e">
        <v>#VALUE!</v>
      </c>
      <c r="P447" s="13" t="str">
        <f t="shared" si="6"/>
        <v/>
      </c>
      <c r="Q447" s="158"/>
      <c r="R447" s="142"/>
    </row>
    <row r="448" spans="1:18" s="139" customFormat="1" ht="13.15" customHeight="1" x14ac:dyDescent="0.15">
      <c r="A448" s="142" t="s">
        <v>1107</v>
      </c>
      <c r="B448" s="142">
        <v>17</v>
      </c>
      <c r="C448" s="143" t="s">
        <v>1165</v>
      </c>
      <c r="D448" s="143">
        <v>1612</v>
      </c>
      <c r="E448" s="144" t="s">
        <v>20</v>
      </c>
      <c r="F448" s="143" t="s">
        <v>1166</v>
      </c>
      <c r="G448" s="143"/>
      <c r="H448" s="142"/>
      <c r="I448" s="143"/>
      <c r="J448" s="142"/>
      <c r="K448" s="142"/>
      <c r="L448" s="142"/>
      <c r="M448" s="142"/>
      <c r="N448" s="12"/>
      <c r="O448" s="12" t="e">
        <v>#VALUE!</v>
      </c>
      <c r="P448" s="13" t="str">
        <f t="shared" si="6"/>
        <v/>
      </c>
      <c r="Q448" s="158"/>
      <c r="R448" s="142"/>
    </row>
    <row r="449" spans="1:18" s="6" customFormat="1" ht="42" customHeight="1" x14ac:dyDescent="0.15">
      <c r="A449" s="11" t="s">
        <v>1107</v>
      </c>
      <c r="B449" s="142">
        <v>17</v>
      </c>
      <c r="C449" s="11" t="s">
        <v>1167</v>
      </c>
      <c r="D449" s="11">
        <v>1614</v>
      </c>
      <c r="E449" s="159" t="s">
        <v>20</v>
      </c>
      <c r="F449" s="61"/>
      <c r="G449" s="11" t="s">
        <v>1168</v>
      </c>
      <c r="H449" s="11"/>
      <c r="I449" s="11"/>
      <c r="J449" s="11"/>
      <c r="K449" s="11" t="s">
        <v>1169</v>
      </c>
      <c r="L449" s="11" t="s">
        <v>1170</v>
      </c>
      <c r="M449" s="11"/>
      <c r="N449" s="12" t="s">
        <v>1171</v>
      </c>
      <c r="O449" s="12" t="s">
        <v>1172</v>
      </c>
      <c r="P449" s="13" t="str">
        <f t="shared" si="6"/>
        <v>亀山のむかしばなし／おもしろいおはなし／川浸り餅</v>
      </c>
      <c r="Q449" s="14"/>
      <c r="R449" s="11" t="s">
        <v>1173</v>
      </c>
    </row>
    <row r="450" spans="1:18" s="6" customFormat="1" ht="45.75" customHeight="1" x14ac:dyDescent="0.15">
      <c r="A450" s="11" t="s">
        <v>1107</v>
      </c>
      <c r="B450" s="142">
        <v>17</v>
      </c>
      <c r="C450" s="11" t="s">
        <v>1167</v>
      </c>
      <c r="D450" s="11">
        <v>1614</v>
      </c>
      <c r="E450" s="159" t="s">
        <v>20</v>
      </c>
      <c r="F450" s="61" t="s">
        <v>1174</v>
      </c>
      <c r="G450" s="11" t="s">
        <v>1175</v>
      </c>
      <c r="H450" s="11" t="s">
        <v>464</v>
      </c>
      <c r="I450" s="11" t="s">
        <v>1157</v>
      </c>
      <c r="J450" s="11"/>
      <c r="K450" s="11" t="s">
        <v>1176</v>
      </c>
      <c r="L450" s="11"/>
      <c r="M450" s="11"/>
      <c r="N450" s="12" t="s">
        <v>1177</v>
      </c>
      <c r="O450" s="12" t="s">
        <v>1163</v>
      </c>
      <c r="P450" s="13" t="str">
        <f t="shared" si="6"/>
        <v>亀山城と宿場／江戸時代の亀山城主／松平忠明（奥平）</v>
      </c>
      <c r="Q450" s="14"/>
      <c r="R450" s="11" t="s">
        <v>1173</v>
      </c>
    </row>
    <row r="451" spans="1:18" s="6" customFormat="1" ht="32.25" customHeight="1" x14ac:dyDescent="0.15">
      <c r="A451" s="142" t="s">
        <v>1107</v>
      </c>
      <c r="B451" s="142">
        <v>17</v>
      </c>
      <c r="C451" s="143" t="s">
        <v>1178</v>
      </c>
      <c r="D451" s="143">
        <v>1615</v>
      </c>
      <c r="E451" s="144" t="s">
        <v>20</v>
      </c>
      <c r="F451" s="143" t="s">
        <v>1179</v>
      </c>
      <c r="G451" s="11"/>
      <c r="H451" s="11"/>
      <c r="I451" s="11"/>
      <c r="J451" s="11"/>
      <c r="K451" s="11"/>
      <c r="L451" s="11"/>
      <c r="M451" s="11"/>
      <c r="N451" s="12"/>
      <c r="O451" s="12" t="e">
        <v>#VALUE!</v>
      </c>
      <c r="P451" s="13" t="str">
        <f t="shared" ref="P451:P514" si="7">IFERROR(HYPERLINK(O451,N451),"")</f>
        <v/>
      </c>
      <c r="Q451" s="14"/>
      <c r="R451" s="11"/>
    </row>
    <row r="452" spans="1:18" s="139" customFormat="1" ht="20.25" customHeight="1" x14ac:dyDescent="0.15">
      <c r="A452" s="145" t="s">
        <v>1107</v>
      </c>
      <c r="B452" s="145">
        <v>17</v>
      </c>
      <c r="C452" s="146" t="s">
        <v>1178</v>
      </c>
      <c r="D452" s="146">
        <v>1615</v>
      </c>
      <c r="E452" s="147" t="s">
        <v>20</v>
      </c>
      <c r="F452" s="146"/>
      <c r="G452" s="146" t="s">
        <v>1180</v>
      </c>
      <c r="H452" s="145" t="s">
        <v>464</v>
      </c>
      <c r="I452" s="15" t="s">
        <v>1157</v>
      </c>
      <c r="J452" s="145" t="s">
        <v>1181</v>
      </c>
      <c r="K452" s="145" t="s">
        <v>1182</v>
      </c>
      <c r="L452" s="145"/>
      <c r="M452" s="145"/>
      <c r="N452" s="34" t="s">
        <v>1183</v>
      </c>
      <c r="O452" s="34" t="s">
        <v>1184</v>
      </c>
      <c r="P452" s="35" t="str">
        <f t="shared" si="7"/>
        <v>亀山城と宿場／亀山城のつくり／本丸</v>
      </c>
      <c r="Q452" s="160"/>
      <c r="R452" s="15" t="s">
        <v>1173</v>
      </c>
    </row>
    <row r="453" spans="1:18" s="139" customFormat="1" ht="32.25" customHeight="1" x14ac:dyDescent="0.15">
      <c r="A453" s="136"/>
      <c r="B453" s="136"/>
      <c r="C453" s="137"/>
      <c r="D453" s="137"/>
      <c r="E453" s="138"/>
      <c r="F453" s="137"/>
      <c r="G453" s="137"/>
      <c r="H453" s="136"/>
      <c r="I453" s="26"/>
      <c r="J453" s="136"/>
      <c r="K453" s="136"/>
      <c r="L453" s="136"/>
      <c r="M453" s="136"/>
      <c r="N453" s="84" t="s">
        <v>1185</v>
      </c>
      <c r="O453" s="84" t="s">
        <v>1186</v>
      </c>
      <c r="P453" s="85" t="str">
        <f t="shared" si="7"/>
        <v>亀山城と宿場／亀山城のつくり／門／青木門</v>
      </c>
      <c r="Q453" s="79"/>
      <c r="R453" s="26"/>
    </row>
    <row r="454" spans="1:18" s="139" customFormat="1" ht="30.75" customHeight="1" x14ac:dyDescent="0.15">
      <c r="A454" s="136"/>
      <c r="B454" s="136"/>
      <c r="C454" s="137"/>
      <c r="D454" s="137"/>
      <c r="E454" s="138"/>
      <c r="F454" s="137"/>
      <c r="G454" s="137"/>
      <c r="H454" s="136"/>
      <c r="I454" s="26"/>
      <c r="J454" s="136"/>
      <c r="K454" s="136"/>
      <c r="L454" s="136"/>
      <c r="M454" s="136"/>
      <c r="N454" s="84" t="s">
        <v>1152</v>
      </c>
      <c r="O454" s="84" t="s">
        <v>1153</v>
      </c>
      <c r="P454" s="85" t="str">
        <f t="shared" si="7"/>
        <v>亀山城と宿場／亀山城と江戸幕府／亀山城に泊まった将軍／徳川家康</v>
      </c>
      <c r="Q454" s="79"/>
      <c r="R454" s="26"/>
    </row>
    <row r="455" spans="1:18" s="139" customFormat="1" ht="31.5" customHeight="1" x14ac:dyDescent="0.15">
      <c r="A455" s="136"/>
      <c r="B455" s="136"/>
      <c r="C455" s="137"/>
      <c r="D455" s="137"/>
      <c r="E455" s="138"/>
      <c r="F455" s="137"/>
      <c r="G455" s="137"/>
      <c r="H455" s="136"/>
      <c r="I455" s="26"/>
      <c r="J455" s="136"/>
      <c r="K455" s="136"/>
      <c r="L455" s="136"/>
      <c r="M455" s="136"/>
      <c r="N455" s="84" t="s">
        <v>1177</v>
      </c>
      <c r="O455" s="84" t="s">
        <v>1163</v>
      </c>
      <c r="P455" s="85" t="str">
        <f t="shared" si="7"/>
        <v>亀山城と宿場／江戸時代の亀山城主／松平忠明（奥平）</v>
      </c>
      <c r="Q455" s="79"/>
      <c r="R455" s="26"/>
    </row>
    <row r="456" spans="1:18" s="139" customFormat="1" ht="47.25" customHeight="1" x14ac:dyDescent="0.15">
      <c r="A456" s="151"/>
      <c r="B456" s="151"/>
      <c r="C456" s="152"/>
      <c r="D456" s="152"/>
      <c r="E456" s="153"/>
      <c r="F456" s="152"/>
      <c r="G456" s="152"/>
      <c r="H456" s="151"/>
      <c r="I456" s="7"/>
      <c r="J456" s="151"/>
      <c r="K456" s="151"/>
      <c r="L456" s="151"/>
      <c r="M456" s="151"/>
      <c r="N456" s="86" t="s">
        <v>1187</v>
      </c>
      <c r="O456" s="86" t="s">
        <v>1188</v>
      </c>
      <c r="P456" s="87" t="str">
        <f t="shared" si="7"/>
        <v>日本の歴史の中の亀山／近世の亀山／江戸幕府の成立と鎖国／将軍上洛と亀山城</v>
      </c>
      <c r="Q456" s="157"/>
      <c r="R456" s="7"/>
    </row>
    <row r="457" spans="1:18" s="139" customFormat="1" ht="30.75" customHeight="1" x14ac:dyDescent="0.15">
      <c r="A457" s="142" t="s">
        <v>1107</v>
      </c>
      <c r="B457" s="142">
        <v>17</v>
      </c>
      <c r="C457" s="143" t="s">
        <v>1178</v>
      </c>
      <c r="D457" s="143">
        <v>1615</v>
      </c>
      <c r="E457" s="159" t="s">
        <v>34</v>
      </c>
      <c r="F457" s="143"/>
      <c r="G457" s="143" t="s">
        <v>1189</v>
      </c>
      <c r="H457" s="142" t="s">
        <v>468</v>
      </c>
      <c r="I457" s="161" t="s">
        <v>1190</v>
      </c>
      <c r="J457" s="82" t="str">
        <f>HYPERLINK("http://kameyamarekihaku.jp/sisi/tuusiHP_next/kinsei/image/01/gi.htm?pf=2056sh041.JPG&amp;?pn=%20%E4%BA%80%E5%B1%B1%E5%9F%8E%E3%81%AE%E9%AC%BC%E9%96%80%E3%81%AB%E4%BD%8D%E7%BD%AE%E3%81%99%E3%82%8B%E6%B1%9F%E3%83%B6%E5%AE%A4%E5%85%AB%E5%B9%A1%E7%A4%BE","江ヶ室八幡社")</f>
        <v>江ヶ室八幡社</v>
      </c>
      <c r="K457" s="142"/>
      <c r="L457" s="142"/>
      <c r="M457" s="142"/>
      <c r="N457" s="12"/>
      <c r="O457" s="12" t="e">
        <v>#VALUE!</v>
      </c>
      <c r="P457" s="13" t="str">
        <f t="shared" si="7"/>
        <v/>
      </c>
      <c r="Q457" s="158"/>
      <c r="R457" s="142" t="s">
        <v>1191</v>
      </c>
    </row>
    <row r="458" spans="1:18" s="139" customFormat="1" ht="28.5" customHeight="1" x14ac:dyDescent="0.15">
      <c r="A458" s="145" t="s">
        <v>1107</v>
      </c>
      <c r="B458" s="145">
        <v>17</v>
      </c>
      <c r="C458" s="146" t="s">
        <v>1178</v>
      </c>
      <c r="D458" s="146">
        <v>1615</v>
      </c>
      <c r="E458" s="147" t="s">
        <v>20</v>
      </c>
      <c r="F458" s="146"/>
      <c r="G458" s="345" t="s">
        <v>1192</v>
      </c>
      <c r="H458" s="145" t="s">
        <v>1193</v>
      </c>
      <c r="I458" s="345" t="s">
        <v>1194</v>
      </c>
      <c r="J458" s="145"/>
      <c r="K458" s="145"/>
      <c r="L458" s="145"/>
      <c r="M458" s="145"/>
      <c r="N458" s="32"/>
      <c r="O458" s="32" t="e">
        <v>#VALUE!</v>
      </c>
      <c r="P458" s="33" t="str">
        <f t="shared" si="7"/>
        <v/>
      </c>
      <c r="Q458" s="17" t="str">
        <f>HYPERLINK("http:/kameyamarekihaku.jp/sisi/RekisiHP/kinsei/jousyu.html","市史近世ページ　亀山城主のうつりかわり")</f>
        <v>市史近世ページ　亀山城主のうつりかわり</v>
      </c>
      <c r="R458" s="347" t="s">
        <v>1195</v>
      </c>
    </row>
    <row r="459" spans="1:18" s="139" customFormat="1" ht="27.75" customHeight="1" x14ac:dyDescent="0.15">
      <c r="A459" s="136"/>
      <c r="B459" s="136"/>
      <c r="C459" s="137"/>
      <c r="D459" s="137"/>
      <c r="E459" s="138"/>
      <c r="F459" s="137"/>
      <c r="G459" s="346"/>
      <c r="H459" s="136"/>
      <c r="I459" s="346"/>
      <c r="J459" s="136"/>
      <c r="K459" s="136"/>
      <c r="L459" s="136"/>
      <c r="M459" s="136"/>
      <c r="N459" s="19"/>
      <c r="O459" s="19" t="e">
        <v>#VALUE!</v>
      </c>
      <c r="P459" s="20" t="str">
        <f t="shared" si="7"/>
        <v/>
      </c>
      <c r="Q459" s="21" t="str">
        <f>HYPERLINK("http:/kameyamarekihaku.jp/dai14kaikikaku/03/framepage2.html","市史歴史分野　町名の歴史")</f>
        <v>市史歴史分野　町名の歴史</v>
      </c>
      <c r="R459" s="332"/>
    </row>
    <row r="460" spans="1:18" s="139" customFormat="1" ht="42.75" customHeight="1" x14ac:dyDescent="0.15">
      <c r="A460" s="151"/>
      <c r="B460" s="151"/>
      <c r="C460" s="152"/>
      <c r="D460" s="152"/>
      <c r="E460" s="153"/>
      <c r="F460" s="152"/>
      <c r="G460" s="154"/>
      <c r="H460" s="151"/>
      <c r="I460" s="353"/>
      <c r="J460" s="151"/>
      <c r="K460" s="151"/>
      <c r="L460" s="151"/>
      <c r="M460" s="151"/>
      <c r="N460" s="19"/>
      <c r="O460" s="19" t="e">
        <v>#VALUE!</v>
      </c>
      <c r="P460" s="20" t="str">
        <f t="shared" si="7"/>
        <v/>
      </c>
      <c r="Q460" s="162" t="str">
        <f>HYPERLINK("http://kameyamarekihaku.jp/raikan_demae/131017_hiruo.html","昼小6年出前授業実践例「身近なところから江戸時代をさがそう」")</f>
        <v>昼小6年出前授業実践例「身近なところから江戸時代をさがそう」</v>
      </c>
      <c r="R460" s="348"/>
    </row>
    <row r="461" spans="1:18" s="139" customFormat="1" ht="52.35" customHeight="1" x14ac:dyDescent="0.15">
      <c r="A461" s="142" t="s">
        <v>1107</v>
      </c>
      <c r="B461" s="142">
        <v>17</v>
      </c>
      <c r="C461" s="143" t="s">
        <v>1178</v>
      </c>
      <c r="D461" s="143">
        <v>1615</v>
      </c>
      <c r="E461" s="144" t="s">
        <v>20</v>
      </c>
      <c r="F461" s="143" t="s">
        <v>1196</v>
      </c>
      <c r="G461" s="143"/>
      <c r="H461" s="142"/>
      <c r="I461" s="143"/>
      <c r="J461" s="142"/>
      <c r="K461" s="142"/>
      <c r="L461" s="142"/>
      <c r="M461" s="142"/>
      <c r="N461" s="12" t="s">
        <v>1197</v>
      </c>
      <c r="O461" s="12" t="s">
        <v>1198</v>
      </c>
      <c r="P461" s="13" t="str">
        <f t="shared" si="7"/>
        <v>日本の歴史の中の亀山／近世の亀山／江戸幕府の成立と鎖国／武家諸法度</v>
      </c>
      <c r="Q461" s="158"/>
      <c r="R461" s="142"/>
    </row>
    <row r="462" spans="1:18" s="139" customFormat="1" ht="42" customHeight="1" x14ac:dyDescent="0.15">
      <c r="A462" s="142" t="s">
        <v>1107</v>
      </c>
      <c r="B462" s="142">
        <v>17</v>
      </c>
      <c r="C462" s="143" t="s">
        <v>1178</v>
      </c>
      <c r="D462" s="143">
        <v>1615</v>
      </c>
      <c r="E462" s="144" t="s">
        <v>20</v>
      </c>
      <c r="F462" s="143"/>
      <c r="G462" s="143" t="s">
        <v>1199</v>
      </c>
      <c r="H462" s="142"/>
      <c r="I462" s="143"/>
      <c r="J462" s="142" t="s">
        <v>1101</v>
      </c>
      <c r="K462" s="142" t="s">
        <v>1200</v>
      </c>
      <c r="L462" s="142"/>
      <c r="M462" s="142"/>
      <c r="N462" s="23" t="s">
        <v>1201</v>
      </c>
      <c r="O462" s="23" t="s">
        <v>1202</v>
      </c>
      <c r="P462" s="24" t="str">
        <f t="shared" si="7"/>
        <v>亀山城と宿場／江戸時代の亀山城主／代官水谷九左衛門</v>
      </c>
      <c r="Q462" s="25" t="str">
        <f>HYPERLINK("http:/kameyamarekihaku.jp/sisi/RekisiHP/kinsei/jousyu.html","市史近世ページ　亀山城主のうつりかわり")</f>
        <v>市史近世ページ　亀山城主のうつりかわり</v>
      </c>
      <c r="R462" s="142" t="s">
        <v>1203</v>
      </c>
    </row>
    <row r="463" spans="1:18" s="139" customFormat="1" ht="16.5" customHeight="1" x14ac:dyDescent="0.15">
      <c r="A463" s="142" t="s">
        <v>1107</v>
      </c>
      <c r="B463" s="142">
        <v>17</v>
      </c>
      <c r="C463" s="143" t="s">
        <v>1204</v>
      </c>
      <c r="D463" s="143">
        <v>1616</v>
      </c>
      <c r="E463" s="144" t="s">
        <v>20</v>
      </c>
      <c r="F463" s="143"/>
      <c r="G463" s="143" t="s">
        <v>1205</v>
      </c>
      <c r="H463" s="142" t="s">
        <v>458</v>
      </c>
      <c r="I463" s="143" t="s">
        <v>1206</v>
      </c>
      <c r="J463" s="142" t="s">
        <v>1207</v>
      </c>
      <c r="K463" s="142"/>
      <c r="L463" s="142"/>
      <c r="M463" s="142"/>
      <c r="N463" s="12"/>
      <c r="O463" s="12" t="e">
        <v>#VALUE!</v>
      </c>
      <c r="P463" s="13" t="str">
        <f t="shared" si="7"/>
        <v/>
      </c>
      <c r="Q463" s="158"/>
      <c r="R463" s="142" t="s">
        <v>1208</v>
      </c>
    </row>
    <row r="464" spans="1:18" s="139" customFormat="1" ht="31.5" customHeight="1" x14ac:dyDescent="0.15">
      <c r="A464" s="142" t="s">
        <v>1107</v>
      </c>
      <c r="B464" s="142">
        <v>17</v>
      </c>
      <c r="C464" s="143" t="s">
        <v>1204</v>
      </c>
      <c r="D464" s="143">
        <v>1616</v>
      </c>
      <c r="E464" s="159" t="s">
        <v>34</v>
      </c>
      <c r="F464" s="143"/>
      <c r="G464" s="161" t="s">
        <v>1209</v>
      </c>
      <c r="H464" s="142"/>
      <c r="I464" s="143"/>
      <c r="J464" s="142"/>
      <c r="K464" s="142" t="s">
        <v>1210</v>
      </c>
      <c r="L464" s="142"/>
      <c r="M464" s="142"/>
      <c r="N464" s="12" t="s">
        <v>1211</v>
      </c>
      <c r="O464" s="12" t="s">
        <v>1212</v>
      </c>
      <c r="P464" s="13" t="str">
        <f t="shared" si="7"/>
        <v>古典に出てくる亀山／旅／江戸時代の旅人</v>
      </c>
      <c r="Q464" s="158"/>
      <c r="R464" s="142" t="s">
        <v>1213</v>
      </c>
    </row>
    <row r="465" spans="1:18" s="139" customFormat="1" ht="34.5" customHeight="1" x14ac:dyDescent="0.15">
      <c r="A465" s="145" t="s">
        <v>1107</v>
      </c>
      <c r="B465" s="145">
        <v>17</v>
      </c>
      <c r="C465" s="146" t="s">
        <v>1214</v>
      </c>
      <c r="D465" s="146">
        <v>1619</v>
      </c>
      <c r="E465" s="147" t="s">
        <v>20</v>
      </c>
      <c r="F465" s="146"/>
      <c r="G465" s="146" t="s">
        <v>1215</v>
      </c>
      <c r="H465" s="145"/>
      <c r="I465" s="146"/>
      <c r="J465" s="145" t="s">
        <v>1101</v>
      </c>
      <c r="K465" s="145" t="s">
        <v>1216</v>
      </c>
      <c r="L465" s="145"/>
      <c r="M465" s="145"/>
      <c r="N465" s="32" t="s">
        <v>1217</v>
      </c>
      <c r="O465" s="32" t="s">
        <v>1218</v>
      </c>
      <c r="P465" s="33" t="str">
        <f t="shared" si="7"/>
        <v>亀山城と宿場／江戸時代の亀山城主／三宅康信・康盛</v>
      </c>
      <c r="Q465" s="17" t="str">
        <f>HYPERLINK("http:/kameyamarekihaku.jp/sisi/tuusiHP_next/tuusi-index.html#kinsei0201","市史通史編 近世第2章第1節第7項")</f>
        <v>市史通史編 近世第2章第1節第7項</v>
      </c>
      <c r="R465" s="347" t="s">
        <v>1219</v>
      </c>
    </row>
    <row r="466" spans="1:18" s="139" customFormat="1" ht="34.5" customHeight="1" x14ac:dyDescent="0.15">
      <c r="A466" s="151"/>
      <c r="B466" s="151"/>
      <c r="C466" s="152"/>
      <c r="D466" s="152"/>
      <c r="E466" s="153"/>
      <c r="F466" s="152"/>
      <c r="H466" s="151"/>
      <c r="I466" s="152"/>
      <c r="J466" s="151"/>
      <c r="K466" s="151"/>
      <c r="L466" s="151"/>
      <c r="M466" s="151"/>
      <c r="N466" s="53"/>
      <c r="O466" s="29" t="e">
        <v>#VALUE!</v>
      </c>
      <c r="P466" s="30" t="str">
        <f t="shared" si="7"/>
        <v/>
      </c>
      <c r="Q466" s="102" t="str">
        <f>HYPERLINK("http:/kameyamarekihaku.jp/sisi/RekisiHP/kinsei/jousyu.html","市史近世ページ　亀山城主のうつりかわり")</f>
        <v>市史近世ページ　亀山城主のうつりかわり</v>
      </c>
      <c r="R466" s="348"/>
    </row>
    <row r="467" spans="1:18" s="6" customFormat="1" ht="33" customHeight="1" x14ac:dyDescent="0.15">
      <c r="A467" s="145" t="s">
        <v>1107</v>
      </c>
      <c r="B467" s="88">
        <v>17</v>
      </c>
      <c r="C467" s="163" t="s">
        <v>1220</v>
      </c>
      <c r="D467" s="163">
        <v>1620</v>
      </c>
      <c r="E467" s="147" t="s">
        <v>20</v>
      </c>
      <c r="F467" s="163"/>
      <c r="G467" s="349" t="s">
        <v>1221</v>
      </c>
      <c r="H467" s="145" t="s">
        <v>464</v>
      </c>
      <c r="I467" s="146" t="s">
        <v>1157</v>
      </c>
      <c r="J467" s="145" t="s">
        <v>1101</v>
      </c>
      <c r="K467" s="88" t="s">
        <v>1222</v>
      </c>
      <c r="L467" s="88"/>
      <c r="M467" s="88"/>
      <c r="N467" s="34" t="s">
        <v>1183</v>
      </c>
      <c r="O467" s="34" t="s">
        <v>1184</v>
      </c>
      <c r="P467" s="35" t="str">
        <f t="shared" si="7"/>
        <v>亀山城と宿場／亀山城のつくり／本丸</v>
      </c>
      <c r="Q467" s="164"/>
      <c r="R467" s="88" t="s">
        <v>1223</v>
      </c>
    </row>
    <row r="468" spans="1:18" s="6" customFormat="1" ht="36" customHeight="1" x14ac:dyDescent="0.15">
      <c r="A468" s="136"/>
      <c r="B468" s="90"/>
      <c r="C468" s="165"/>
      <c r="D468" s="165"/>
      <c r="E468" s="138"/>
      <c r="F468" s="165"/>
      <c r="G468" s="350"/>
      <c r="H468" s="136"/>
      <c r="I468" s="137"/>
      <c r="J468" s="136"/>
      <c r="K468" s="90"/>
      <c r="L468" s="90"/>
      <c r="N468" s="84" t="s">
        <v>1224</v>
      </c>
      <c r="O468" s="84" t="s">
        <v>1225</v>
      </c>
      <c r="P468" s="85" t="str">
        <f t="shared" si="7"/>
        <v>亀山城と宿場／亀山城と江戸幕府／徳川和子の婚礼行列</v>
      </c>
      <c r="Q468" s="166"/>
      <c r="R468" s="90"/>
    </row>
    <row r="469" spans="1:18" s="6" customFormat="1" ht="33.75" customHeight="1" x14ac:dyDescent="0.15">
      <c r="A469" s="136"/>
      <c r="B469" s="90"/>
      <c r="C469" s="165"/>
      <c r="D469" s="165"/>
      <c r="E469" s="138"/>
      <c r="F469" s="165"/>
      <c r="G469" s="167"/>
      <c r="H469" s="136"/>
      <c r="I469" s="137"/>
      <c r="J469" s="136"/>
      <c r="K469" s="90"/>
      <c r="L469" s="90"/>
      <c r="M469" s="168"/>
      <c r="N469" s="84" t="s">
        <v>1217</v>
      </c>
      <c r="O469" s="84" t="s">
        <v>1218</v>
      </c>
      <c r="P469" s="85" t="str">
        <f t="shared" si="7"/>
        <v>亀山城と宿場／江戸時代の亀山城主／三宅康信・康盛</v>
      </c>
      <c r="Q469" s="166"/>
      <c r="R469" s="90"/>
    </row>
    <row r="470" spans="1:18" s="6" customFormat="1" ht="45" customHeight="1" x14ac:dyDescent="0.15">
      <c r="A470" s="151"/>
      <c r="B470" s="91"/>
      <c r="C470" s="169"/>
      <c r="D470" s="169"/>
      <c r="E470" s="153"/>
      <c r="F470" s="169"/>
      <c r="G470" s="170"/>
      <c r="H470" s="151"/>
      <c r="I470" s="152"/>
      <c r="J470" s="151"/>
      <c r="K470" s="91"/>
      <c r="L470" s="91"/>
      <c r="M470" s="171"/>
      <c r="N470" s="86" t="s">
        <v>1226</v>
      </c>
      <c r="O470" s="86" t="s">
        <v>1188</v>
      </c>
      <c r="P470" s="87" t="str">
        <f t="shared" si="7"/>
        <v>日本の歴史の中の亀山／近世の亀山／江戸幕府の成立と鎖国／将軍上洛と亀山城</v>
      </c>
      <c r="Q470" s="172"/>
      <c r="R470" s="91"/>
    </row>
    <row r="471" spans="1:18" s="6" customFormat="1" ht="31.5" customHeight="1" x14ac:dyDescent="0.15">
      <c r="A471" s="90" t="s">
        <v>1107</v>
      </c>
      <c r="B471" s="90">
        <v>17</v>
      </c>
      <c r="C471" s="165" t="s">
        <v>1227</v>
      </c>
      <c r="D471" s="165">
        <v>1621</v>
      </c>
      <c r="E471" s="173" t="s">
        <v>1228</v>
      </c>
      <c r="F471" s="165"/>
      <c r="G471" s="165" t="s">
        <v>1229</v>
      </c>
      <c r="H471" s="90" t="s">
        <v>28</v>
      </c>
      <c r="I471" s="165" t="s">
        <v>1230</v>
      </c>
      <c r="J471" s="41" t="s">
        <v>1231</v>
      </c>
      <c r="K471" s="90" t="s">
        <v>1232</v>
      </c>
      <c r="L471" s="90"/>
      <c r="M471" s="90"/>
      <c r="N471" s="84" t="s">
        <v>1233</v>
      </c>
      <c r="O471" s="84" t="s">
        <v>1234</v>
      </c>
      <c r="P471" s="85" t="str">
        <f t="shared" si="7"/>
        <v>亀山城と宿場／４つの宿場／鈴鹿峠ふもとの宿場 坂下宿</v>
      </c>
      <c r="Q471" s="166"/>
      <c r="R471" s="90" t="s">
        <v>1235</v>
      </c>
    </row>
    <row r="472" spans="1:18" s="6" customFormat="1" ht="31.5" customHeight="1" x14ac:dyDescent="0.15">
      <c r="A472" s="91"/>
      <c r="B472" s="91"/>
      <c r="C472" s="169"/>
      <c r="D472" s="169"/>
      <c r="E472" s="174"/>
      <c r="F472" s="169"/>
      <c r="G472" s="169"/>
      <c r="H472" s="91"/>
      <c r="I472" s="169"/>
      <c r="J472" s="107"/>
      <c r="K472" s="91"/>
      <c r="L472" s="91"/>
      <c r="M472" s="91"/>
      <c r="N472" s="86" t="s">
        <v>1236</v>
      </c>
      <c r="O472" s="86" t="s">
        <v>1212</v>
      </c>
      <c r="P472" s="87" t="str">
        <f t="shared" si="7"/>
        <v>古典に出てくる亀山／旅／江戸時代の旅人</v>
      </c>
      <c r="Q472" s="172"/>
      <c r="R472" s="91"/>
    </row>
    <row r="473" spans="1:18" s="6" customFormat="1" ht="21" customHeight="1" x14ac:dyDescent="0.15">
      <c r="A473" s="88" t="s">
        <v>1107</v>
      </c>
      <c r="B473" s="88">
        <v>17</v>
      </c>
      <c r="C473" s="163" t="s">
        <v>1237</v>
      </c>
      <c r="D473" s="163">
        <v>1623</v>
      </c>
      <c r="E473" s="147" t="s">
        <v>20</v>
      </c>
      <c r="F473" s="163"/>
      <c r="G473" s="349" t="s">
        <v>1238</v>
      </c>
      <c r="H473" s="145" t="s">
        <v>464</v>
      </c>
      <c r="I473" s="146" t="s">
        <v>1157</v>
      </c>
      <c r="J473" s="145" t="s">
        <v>1101</v>
      </c>
      <c r="K473" s="88" t="s">
        <v>1239</v>
      </c>
      <c r="L473" s="88"/>
      <c r="M473" s="88"/>
      <c r="N473" s="34" t="s">
        <v>1183</v>
      </c>
      <c r="O473" s="34" t="s">
        <v>1184</v>
      </c>
      <c r="P473" s="35" t="str">
        <f t="shared" si="7"/>
        <v>亀山城と宿場／亀山城のつくり／本丸</v>
      </c>
      <c r="Q473" s="164"/>
      <c r="R473" s="351" t="s">
        <v>1240</v>
      </c>
    </row>
    <row r="474" spans="1:18" s="6" customFormat="1" ht="33" customHeight="1" x14ac:dyDescent="0.15">
      <c r="A474" s="90"/>
      <c r="B474" s="90"/>
      <c r="C474" s="165"/>
      <c r="D474" s="165"/>
      <c r="E474" s="138"/>
      <c r="F474" s="165"/>
      <c r="G474" s="350"/>
      <c r="H474" s="136"/>
      <c r="I474" s="137"/>
      <c r="J474" s="136"/>
      <c r="K474" s="90"/>
      <c r="L474" s="90"/>
      <c r="M474" s="90"/>
      <c r="N474" s="84" t="s">
        <v>1241</v>
      </c>
      <c r="O474" s="84" t="s">
        <v>1242</v>
      </c>
      <c r="P474" s="85" t="str">
        <f t="shared" si="7"/>
        <v>亀山城と宿場／亀山城と江戸幕府／亀山城に泊まった将軍</v>
      </c>
      <c r="Q474" s="166"/>
      <c r="R474" s="352"/>
    </row>
    <row r="475" spans="1:18" s="6" customFormat="1" ht="33.75" customHeight="1" x14ac:dyDescent="0.15">
      <c r="A475" s="90"/>
      <c r="B475" s="90"/>
      <c r="C475" s="165"/>
      <c r="D475" s="165"/>
      <c r="E475" s="138"/>
      <c r="F475" s="165"/>
      <c r="G475" s="165"/>
      <c r="H475" s="136"/>
      <c r="I475" s="137"/>
      <c r="J475" s="136"/>
      <c r="K475" s="90"/>
      <c r="L475" s="90"/>
      <c r="M475" s="90"/>
      <c r="N475" s="84" t="s">
        <v>1243</v>
      </c>
      <c r="O475" s="84" t="s">
        <v>1218</v>
      </c>
      <c r="P475" s="85" t="str">
        <f t="shared" si="7"/>
        <v>亀山城と宿場／江戸時代の亀山城主／三宅康信・康盛</v>
      </c>
      <c r="Q475" s="166"/>
      <c r="R475" s="166"/>
    </row>
    <row r="476" spans="1:18" s="6" customFormat="1" ht="33.75" customHeight="1" x14ac:dyDescent="0.15">
      <c r="A476" s="91"/>
      <c r="B476" s="91"/>
      <c r="C476" s="169"/>
      <c r="D476" s="169"/>
      <c r="E476" s="153"/>
      <c r="F476" s="169"/>
      <c r="G476" s="169"/>
      <c r="H476" s="151"/>
      <c r="I476" s="152"/>
      <c r="J476" s="151"/>
      <c r="K476" s="91"/>
      <c r="L476" s="91"/>
      <c r="M476" s="91"/>
      <c r="N476" s="86" t="s">
        <v>1244</v>
      </c>
      <c r="O476" s="86" t="s">
        <v>1188</v>
      </c>
      <c r="P476" s="87" t="str">
        <f t="shared" si="7"/>
        <v>日本の歴史の中の亀山／近世の亀山／江戸幕府の成立と鎖国／将軍上洛と亀山城</v>
      </c>
      <c r="Q476" s="172"/>
      <c r="R476" s="172"/>
    </row>
    <row r="477" spans="1:18" s="139" customFormat="1" ht="22.5" customHeight="1" x14ac:dyDescent="0.15">
      <c r="A477" s="145" t="s">
        <v>1107</v>
      </c>
      <c r="B477" s="145">
        <v>17</v>
      </c>
      <c r="C477" s="146" t="s">
        <v>1245</v>
      </c>
      <c r="D477" s="146">
        <v>1623</v>
      </c>
      <c r="E477" s="147" t="s">
        <v>20</v>
      </c>
      <c r="F477" s="146"/>
      <c r="G477" s="345" t="s">
        <v>1246</v>
      </c>
      <c r="H477" s="145" t="s">
        <v>28</v>
      </c>
      <c r="I477" s="345" t="s">
        <v>1247</v>
      </c>
      <c r="J477" s="145"/>
      <c r="K477" s="145"/>
      <c r="L477" s="145"/>
      <c r="M477" s="145"/>
      <c r="N477" s="34" t="s">
        <v>1248</v>
      </c>
      <c r="O477" s="34" t="s">
        <v>923</v>
      </c>
      <c r="P477" s="35" t="str">
        <f t="shared" si="7"/>
        <v>むかしの道と交通／亀山の近世の道</v>
      </c>
      <c r="Q477" s="160"/>
      <c r="R477" s="145" t="s">
        <v>1249</v>
      </c>
    </row>
    <row r="478" spans="1:18" s="139" customFormat="1" ht="33" customHeight="1" x14ac:dyDescent="0.15">
      <c r="A478" s="136"/>
      <c r="B478" s="136"/>
      <c r="C478" s="137"/>
      <c r="D478" s="137"/>
      <c r="E478" s="138"/>
      <c r="F478" s="137"/>
      <c r="G478" s="346"/>
      <c r="H478" s="136"/>
      <c r="I478" s="346"/>
      <c r="J478" s="136"/>
      <c r="K478" s="136"/>
      <c r="L478" s="136"/>
      <c r="M478" s="136"/>
      <c r="N478" s="84" t="s">
        <v>1250</v>
      </c>
      <c r="O478" s="84" t="s">
        <v>1251</v>
      </c>
      <c r="P478" s="85" t="str">
        <f t="shared" si="7"/>
        <v>亀山城と宿場／４つの宿場／東海道・伊勢街道・大和街道分岐の宿場 関宿</v>
      </c>
      <c r="Q478" s="79"/>
      <c r="R478" s="136"/>
    </row>
    <row r="479" spans="1:18" s="139" customFormat="1" ht="48.75" customHeight="1" x14ac:dyDescent="0.15">
      <c r="A479" s="136"/>
      <c r="B479" s="136"/>
      <c r="C479" s="137"/>
      <c r="D479" s="137"/>
      <c r="E479" s="138"/>
      <c r="F479" s="137"/>
      <c r="G479" s="141"/>
      <c r="H479" s="136"/>
      <c r="I479" s="141"/>
      <c r="J479" s="136"/>
      <c r="K479" s="136"/>
      <c r="L479" s="136"/>
      <c r="M479" s="136"/>
      <c r="N479" s="84" t="s">
        <v>1252</v>
      </c>
      <c r="O479" s="84" t="s">
        <v>1253</v>
      </c>
      <c r="P479" s="85" t="str">
        <f t="shared" si="7"/>
        <v>亀山のいいとこさがし／景色のよいところや歴史を知る手掛かりとなるもの／関宿のまちなみ／木崎のまちなみ</v>
      </c>
      <c r="Q479" s="79"/>
      <c r="R479" s="136"/>
    </row>
    <row r="480" spans="1:18" s="139" customFormat="1" ht="48.75" customHeight="1" x14ac:dyDescent="0.15">
      <c r="A480" s="136"/>
      <c r="B480" s="136"/>
      <c r="C480" s="137"/>
      <c r="D480" s="137"/>
      <c r="E480" s="138"/>
      <c r="F480" s="137"/>
      <c r="G480" s="141"/>
      <c r="H480" s="136"/>
      <c r="I480" s="141"/>
      <c r="J480" s="136"/>
      <c r="K480" s="136"/>
      <c r="L480" s="136"/>
      <c r="M480" s="136"/>
      <c r="N480" s="84" t="s">
        <v>1254</v>
      </c>
      <c r="O480" s="84" t="s">
        <v>1255</v>
      </c>
      <c r="P480" s="85" t="str">
        <f t="shared" si="7"/>
        <v>亀山のいいとこさがし／景色のよいところや歴史を知る手掛かりとなるもの／関宿のまちなみ／中町のまちなみ</v>
      </c>
      <c r="Q480" s="79"/>
      <c r="R480" s="136"/>
    </row>
    <row r="481" spans="1:18" s="139" customFormat="1" ht="48.75" customHeight="1" x14ac:dyDescent="0.15">
      <c r="A481" s="151"/>
      <c r="B481" s="151"/>
      <c r="C481" s="152"/>
      <c r="D481" s="152"/>
      <c r="E481" s="153"/>
      <c r="F481" s="152"/>
      <c r="G481" s="154"/>
      <c r="H481" s="151"/>
      <c r="I481" s="154"/>
      <c r="J481" s="151"/>
      <c r="K481" s="151"/>
      <c r="L481" s="151"/>
      <c r="M481" s="151"/>
      <c r="N481" s="86" t="s">
        <v>1256</v>
      </c>
      <c r="O481" s="86" t="s">
        <v>1257</v>
      </c>
      <c r="P481" s="87" t="str">
        <f t="shared" si="7"/>
        <v>亀山のいいとこさがし／景色のよいところや歴史を知る手掛かりとなるもの／関宿のまちなみ／新所のまちなみ</v>
      </c>
      <c r="Q481" s="157"/>
      <c r="R481" s="151"/>
    </row>
    <row r="482" spans="1:18" s="139" customFormat="1" ht="19.5" customHeight="1" x14ac:dyDescent="0.15">
      <c r="A482" s="88" t="s">
        <v>1107</v>
      </c>
      <c r="B482" s="88">
        <v>17</v>
      </c>
      <c r="C482" s="163" t="s">
        <v>1258</v>
      </c>
      <c r="D482" s="163">
        <v>1626</v>
      </c>
      <c r="E482" s="147" t="s">
        <v>20</v>
      </c>
      <c r="F482" s="163"/>
      <c r="G482" s="163" t="s">
        <v>1259</v>
      </c>
      <c r="H482" s="145" t="s">
        <v>464</v>
      </c>
      <c r="I482" s="146" t="s">
        <v>1157</v>
      </c>
      <c r="J482" s="88" t="s">
        <v>1101</v>
      </c>
      <c r="K482" s="88" t="s">
        <v>1260</v>
      </c>
      <c r="L482" s="88"/>
      <c r="M482" s="145"/>
      <c r="N482" s="34" t="s">
        <v>1183</v>
      </c>
      <c r="O482" s="34" t="s">
        <v>1184</v>
      </c>
      <c r="P482" s="35" t="str">
        <f t="shared" si="7"/>
        <v>亀山城と宿場／亀山城のつくり／本丸</v>
      </c>
      <c r="Q482" s="164"/>
      <c r="R482" s="88" t="s">
        <v>1261</v>
      </c>
    </row>
    <row r="483" spans="1:18" s="139" customFormat="1" ht="32.25" customHeight="1" x14ac:dyDescent="0.15">
      <c r="A483" s="90"/>
      <c r="B483" s="90"/>
      <c r="C483" s="165"/>
      <c r="D483" s="165"/>
      <c r="E483" s="138"/>
      <c r="F483" s="165"/>
      <c r="G483" s="165"/>
      <c r="H483" s="136"/>
      <c r="I483" s="137"/>
      <c r="J483" s="90"/>
      <c r="K483" s="90"/>
      <c r="L483" s="90"/>
      <c r="M483" s="136"/>
      <c r="N483" s="84" t="s">
        <v>1262</v>
      </c>
      <c r="O483" s="84" t="s">
        <v>1263</v>
      </c>
      <c r="P483" s="85" t="str">
        <f t="shared" si="7"/>
        <v>亀山城と宿場／亀山城と江戸幕府／亀山城に泊まった将軍／徳川秀忠</v>
      </c>
      <c r="Q483" s="166"/>
      <c r="R483" s="90"/>
    </row>
    <row r="484" spans="1:18" s="139" customFormat="1" ht="36" customHeight="1" x14ac:dyDescent="0.15">
      <c r="A484" s="90"/>
      <c r="B484" s="90"/>
      <c r="C484" s="165"/>
      <c r="D484" s="165"/>
      <c r="E484" s="138"/>
      <c r="F484" s="165"/>
      <c r="G484" s="165"/>
      <c r="H484" s="136"/>
      <c r="I484" s="137"/>
      <c r="J484" s="90"/>
      <c r="K484" s="90"/>
      <c r="L484" s="90"/>
      <c r="M484" s="136"/>
      <c r="N484" s="84" t="s">
        <v>1217</v>
      </c>
      <c r="O484" s="84" t="s">
        <v>1218</v>
      </c>
      <c r="P484" s="85" t="str">
        <f t="shared" si="7"/>
        <v>亀山城と宿場／江戸時代の亀山城主／三宅康信・康盛</v>
      </c>
      <c r="Q484" s="166"/>
      <c r="R484" s="90"/>
    </row>
    <row r="485" spans="1:18" s="139" customFormat="1" ht="48.75" customHeight="1" x14ac:dyDescent="0.15">
      <c r="A485" s="91"/>
      <c r="B485" s="91"/>
      <c r="C485" s="169"/>
      <c r="D485" s="169"/>
      <c r="E485" s="153"/>
      <c r="F485" s="169"/>
      <c r="G485" s="169"/>
      <c r="H485" s="151"/>
      <c r="I485" s="152"/>
      <c r="J485" s="91"/>
      <c r="K485" s="91"/>
      <c r="L485" s="91"/>
      <c r="M485" s="151"/>
      <c r="N485" s="86" t="s">
        <v>1264</v>
      </c>
      <c r="O485" s="86" t="s">
        <v>1188</v>
      </c>
      <c r="P485" s="87" t="str">
        <f t="shared" si="7"/>
        <v>日本の歴史の中の亀山／近世の亀山／江戸幕府の成立と鎖国／将軍上洛と亀山城</v>
      </c>
      <c r="Q485" s="172"/>
      <c r="R485" s="91"/>
    </row>
    <row r="486" spans="1:18" s="6" customFormat="1" ht="18" customHeight="1" x14ac:dyDescent="0.15">
      <c r="A486" s="88" t="s">
        <v>1107</v>
      </c>
      <c r="B486" s="88">
        <v>17</v>
      </c>
      <c r="C486" s="163" t="s">
        <v>1258</v>
      </c>
      <c r="D486" s="163">
        <v>1626</v>
      </c>
      <c r="E486" s="147" t="s">
        <v>20</v>
      </c>
      <c r="F486" s="163"/>
      <c r="G486" s="163" t="s">
        <v>1265</v>
      </c>
      <c r="H486" s="145" t="s">
        <v>464</v>
      </c>
      <c r="I486" s="146" t="s">
        <v>1157</v>
      </c>
      <c r="J486" s="88" t="s">
        <v>1101</v>
      </c>
      <c r="K486" s="88" t="s">
        <v>1266</v>
      </c>
      <c r="L486" s="88"/>
      <c r="M486" s="88"/>
      <c r="N486" s="34" t="s">
        <v>1183</v>
      </c>
      <c r="O486" s="34" t="s">
        <v>1184</v>
      </c>
      <c r="P486" s="35" t="str">
        <f t="shared" si="7"/>
        <v>亀山城と宿場／亀山城のつくり／本丸</v>
      </c>
      <c r="Q486" s="164"/>
      <c r="R486" s="88" t="s">
        <v>1267</v>
      </c>
    </row>
    <row r="487" spans="1:18" s="6" customFormat="1" ht="33.75" customHeight="1" x14ac:dyDescent="0.15">
      <c r="A487" s="90"/>
      <c r="B487" s="90"/>
      <c r="C487" s="165"/>
      <c r="D487" s="165"/>
      <c r="E487" s="138"/>
      <c r="F487" s="165"/>
      <c r="G487" s="165"/>
      <c r="H487" s="136"/>
      <c r="I487" s="137"/>
      <c r="J487" s="90"/>
      <c r="K487" s="90"/>
      <c r="L487" s="90"/>
      <c r="M487" s="90"/>
      <c r="N487" s="84" t="s">
        <v>1268</v>
      </c>
      <c r="O487" s="84" t="s">
        <v>1269</v>
      </c>
      <c r="P487" s="85" t="str">
        <f t="shared" si="7"/>
        <v>亀山城と宿場／亀山城と江戸幕府／亀山城に泊まった将軍／徳川家光</v>
      </c>
      <c r="Q487" s="166"/>
      <c r="R487" s="90"/>
    </row>
    <row r="488" spans="1:18" s="6" customFormat="1" ht="32.25" customHeight="1" x14ac:dyDescent="0.15">
      <c r="A488" s="90"/>
      <c r="B488" s="90"/>
      <c r="C488" s="165"/>
      <c r="D488" s="165"/>
      <c r="E488" s="138"/>
      <c r="F488" s="165"/>
      <c r="G488" s="165"/>
      <c r="H488" s="136"/>
      <c r="I488" s="137"/>
      <c r="J488" s="90"/>
      <c r="K488" s="90"/>
      <c r="L488" s="90"/>
      <c r="M488" s="90"/>
      <c r="N488" s="84" t="s">
        <v>1217</v>
      </c>
      <c r="O488" s="84" t="s">
        <v>1218</v>
      </c>
      <c r="P488" s="85" t="str">
        <f t="shared" si="7"/>
        <v>亀山城と宿場／江戸時代の亀山城主／三宅康信・康盛</v>
      </c>
      <c r="Q488" s="166"/>
      <c r="R488" s="90"/>
    </row>
    <row r="489" spans="1:18" s="6" customFormat="1" ht="42.75" customHeight="1" x14ac:dyDescent="0.15">
      <c r="A489" s="91"/>
      <c r="B489" s="91"/>
      <c r="C489" s="169"/>
      <c r="D489" s="169"/>
      <c r="E489" s="153"/>
      <c r="F489" s="169"/>
      <c r="G489" s="169"/>
      <c r="H489" s="151"/>
      <c r="I489" s="152"/>
      <c r="J489" s="91"/>
      <c r="K489" s="91"/>
      <c r="L489" s="91"/>
      <c r="M489" s="91"/>
      <c r="N489" s="86" t="s">
        <v>1226</v>
      </c>
      <c r="O489" s="86" t="s">
        <v>1188</v>
      </c>
      <c r="P489" s="87" t="str">
        <f t="shared" si="7"/>
        <v>日本の歴史の中の亀山／近世の亀山／江戸幕府の成立と鎖国／将軍上洛と亀山城</v>
      </c>
      <c r="Q489" s="172"/>
      <c r="R489" s="91"/>
    </row>
    <row r="490" spans="1:18" s="139" customFormat="1" ht="48" customHeight="1" x14ac:dyDescent="0.15">
      <c r="A490" s="142" t="s">
        <v>1107</v>
      </c>
      <c r="B490" s="142">
        <v>17</v>
      </c>
      <c r="C490" s="143" t="s">
        <v>1270</v>
      </c>
      <c r="D490" s="143">
        <v>1632</v>
      </c>
      <c r="E490" s="144" t="s">
        <v>20</v>
      </c>
      <c r="F490" s="143"/>
      <c r="G490" s="143" t="s">
        <v>1271</v>
      </c>
      <c r="H490" s="142"/>
      <c r="I490" s="143"/>
      <c r="J490" s="120" t="s">
        <v>1101</v>
      </c>
      <c r="K490" s="142" t="s">
        <v>1272</v>
      </c>
      <c r="L490" s="142"/>
      <c r="M490" s="142"/>
      <c r="N490" s="23" t="s">
        <v>1243</v>
      </c>
      <c r="O490" s="23" t="s">
        <v>1218</v>
      </c>
      <c r="P490" s="24" t="str">
        <f t="shared" si="7"/>
        <v>亀山城と宿場／江戸時代の亀山城主／三宅康信・康盛</v>
      </c>
      <c r="Q490" s="25" t="str">
        <f>HYPERLINK("http:/kameyamarekihaku.jp/sisi/RekisiHP/kinsei/jousyu.html","市史近世ページ　亀山城主のうつりかわり")</f>
        <v>市史近世ページ　亀山城主のうつりかわり</v>
      </c>
      <c r="R490" s="142" t="s">
        <v>1273</v>
      </c>
    </row>
    <row r="491" spans="1:18" s="139" customFormat="1" ht="49.5" customHeight="1" x14ac:dyDescent="0.15">
      <c r="A491" s="142" t="s">
        <v>1107</v>
      </c>
      <c r="B491" s="142">
        <v>17</v>
      </c>
      <c r="C491" s="143" t="s">
        <v>1270</v>
      </c>
      <c r="D491" s="143">
        <v>1632</v>
      </c>
      <c r="E491" s="144" t="s">
        <v>20</v>
      </c>
      <c r="F491" s="143"/>
      <c r="G491" s="143" t="s">
        <v>1274</v>
      </c>
      <c r="H491" s="142" t="s">
        <v>464</v>
      </c>
      <c r="I491" s="143" t="s">
        <v>1275</v>
      </c>
      <c r="J491" s="120" t="s">
        <v>1101</v>
      </c>
      <c r="K491" s="142" t="s">
        <v>1276</v>
      </c>
      <c r="L491" s="11" t="s">
        <v>1021</v>
      </c>
      <c r="M491" s="142"/>
      <c r="N491" s="12" t="s">
        <v>1277</v>
      </c>
      <c r="O491" s="12" t="s">
        <v>1278</v>
      </c>
      <c r="P491" s="13" t="str">
        <f t="shared" si="7"/>
        <v>亀山城と宿場／亀山城のつくり／天守</v>
      </c>
      <c r="Q491" s="158"/>
      <c r="R491" s="142" t="s">
        <v>1273</v>
      </c>
    </row>
    <row r="492" spans="1:18" s="6" customFormat="1" ht="64.5" customHeight="1" x14ac:dyDescent="0.15">
      <c r="A492" s="120" t="s">
        <v>1107</v>
      </c>
      <c r="B492" s="120">
        <v>17</v>
      </c>
      <c r="C492" s="175" t="s">
        <v>1279</v>
      </c>
      <c r="D492" s="175">
        <v>1633</v>
      </c>
      <c r="E492" s="144" t="s">
        <v>20</v>
      </c>
      <c r="F492" s="175"/>
      <c r="G492" s="175" t="s">
        <v>1280</v>
      </c>
      <c r="H492" s="142" t="s">
        <v>464</v>
      </c>
      <c r="I492" s="143" t="s">
        <v>1275</v>
      </c>
      <c r="J492" s="120" t="s">
        <v>1281</v>
      </c>
      <c r="K492" s="120" t="s">
        <v>1282</v>
      </c>
      <c r="L492" s="22" t="str">
        <f>HYPERLINK("http:/kameyamarekihaku.jp/sisi/koukoHP/archives/kamejyouezu/01/01-01/gi.html?pf=KJEZU0101-01-002.jpg&amp;pn=%E5%AF%9B%E6%B0%B810%E5%B9%B4%E3%81%AE%E4%BA%80%E5%B1%B1%E5%9F%8E","勢州亀山御城御本丸二之丸三之丸御指図")</f>
        <v>勢州亀山御城御本丸二之丸三之丸御指図</v>
      </c>
      <c r="M492" s="120"/>
      <c r="N492" s="176" t="s">
        <v>1283</v>
      </c>
      <c r="O492" s="177" t="s">
        <v>1093</v>
      </c>
      <c r="P492" s="178" t="str">
        <f t="shared" si="7"/>
        <v>亀山城と宿場／亀山城と江戸幕府</v>
      </c>
      <c r="Q492" s="120"/>
      <c r="R492" s="120" t="s">
        <v>1284</v>
      </c>
    </row>
    <row r="493" spans="1:18" s="139" customFormat="1" ht="34.5" customHeight="1" x14ac:dyDescent="0.15">
      <c r="A493" s="145" t="s">
        <v>1107</v>
      </c>
      <c r="B493" s="145">
        <v>17</v>
      </c>
      <c r="C493" s="146" t="s">
        <v>1285</v>
      </c>
      <c r="D493" s="146">
        <v>1634</v>
      </c>
      <c r="E493" s="147" t="s">
        <v>20</v>
      </c>
      <c r="F493" s="146"/>
      <c r="G493" s="146" t="s">
        <v>1286</v>
      </c>
      <c r="H493" s="145" t="s">
        <v>464</v>
      </c>
      <c r="I493" s="146" t="s">
        <v>1275</v>
      </c>
      <c r="J493" s="88" t="s">
        <v>1101</v>
      </c>
      <c r="K493" s="145" t="s">
        <v>1287</v>
      </c>
      <c r="L493" s="145"/>
      <c r="M493" s="145"/>
      <c r="N493" s="32" t="s">
        <v>1268</v>
      </c>
      <c r="O493" s="32" t="s">
        <v>1269</v>
      </c>
      <c r="P493" s="33" t="str">
        <f t="shared" si="7"/>
        <v>亀山城と宿場／亀山城と江戸幕府／亀山城に泊まった将軍／徳川家光</v>
      </c>
      <c r="Q493" s="17" t="str">
        <f>HYPERLINK("http:/kameyamarekihaku.jp/sisi/tuusiHP_next/tuusi-index.html#kinsei0301","市史通史編 近世第3章第1節第1項")</f>
        <v>市史通史編 近世第3章第1節第1項</v>
      </c>
      <c r="R493" s="351" t="s">
        <v>1273</v>
      </c>
    </row>
    <row r="494" spans="1:18" s="139" customFormat="1" ht="45" customHeight="1" x14ac:dyDescent="0.15">
      <c r="A494" s="151"/>
      <c r="B494" s="151"/>
      <c r="C494" s="152"/>
      <c r="D494" s="152"/>
      <c r="E494" s="153"/>
      <c r="F494" s="152"/>
      <c r="G494" s="152"/>
      <c r="H494" s="151"/>
      <c r="I494" s="152"/>
      <c r="J494" s="91"/>
      <c r="K494" s="151"/>
      <c r="L494" s="151"/>
      <c r="M494" s="151"/>
      <c r="N494" s="29" t="s">
        <v>1288</v>
      </c>
      <c r="O494" s="29" t="s">
        <v>1188</v>
      </c>
      <c r="P494" s="30" t="str">
        <f t="shared" si="7"/>
        <v>日本の歴史の中の亀山／近世の亀山／江戸幕府の成立と鎖国／将軍上洛と亀山城</v>
      </c>
      <c r="Q494" s="10"/>
      <c r="R494" s="355"/>
    </row>
    <row r="495" spans="1:18" s="139" customFormat="1" ht="13.15" customHeight="1" x14ac:dyDescent="0.15">
      <c r="A495" s="142" t="s">
        <v>1107</v>
      </c>
      <c r="B495" s="142">
        <v>17</v>
      </c>
      <c r="C495" s="143" t="s">
        <v>1289</v>
      </c>
      <c r="D495" s="143">
        <v>1635</v>
      </c>
      <c r="E495" s="144" t="s">
        <v>20</v>
      </c>
      <c r="F495" s="143" t="s">
        <v>1290</v>
      </c>
      <c r="G495" s="143"/>
      <c r="H495" s="142"/>
      <c r="I495" s="143"/>
      <c r="J495" s="142"/>
      <c r="K495" s="142"/>
      <c r="L495" s="142"/>
      <c r="M495" s="142"/>
      <c r="N495" s="12"/>
      <c r="O495" s="12" t="e">
        <v>#VALUE!</v>
      </c>
      <c r="P495" s="13" t="str">
        <f t="shared" si="7"/>
        <v/>
      </c>
      <c r="Q495" s="158"/>
      <c r="R495" s="142"/>
    </row>
    <row r="496" spans="1:18" s="139" customFormat="1" ht="27.75" customHeight="1" x14ac:dyDescent="0.15">
      <c r="A496" s="145" t="s">
        <v>1107</v>
      </c>
      <c r="B496" s="145">
        <v>17</v>
      </c>
      <c r="C496" s="146" t="s">
        <v>1291</v>
      </c>
      <c r="D496" s="146">
        <v>1636</v>
      </c>
      <c r="E496" s="147" t="s">
        <v>20</v>
      </c>
      <c r="F496" s="146"/>
      <c r="G496" s="146" t="s">
        <v>1292</v>
      </c>
      <c r="H496" s="347" t="s">
        <v>1293</v>
      </c>
      <c r="I496" s="345" t="s">
        <v>1294</v>
      </c>
      <c r="J496" s="88" t="s">
        <v>1101</v>
      </c>
      <c r="K496" s="145" t="s">
        <v>1295</v>
      </c>
      <c r="L496" s="145"/>
      <c r="M496" s="145"/>
      <c r="N496" s="32" t="s">
        <v>1296</v>
      </c>
      <c r="O496" s="32" t="s">
        <v>1297</v>
      </c>
      <c r="P496" s="33" t="str">
        <f t="shared" si="7"/>
        <v>亀山城と宿場／江戸時代の亀山城主／本多俊次</v>
      </c>
      <c r="Q496" s="17" t="str">
        <f>HYPERLINK("http:/kameyamarekihaku.jp/sisi/tuusiHP_next/tuusi-index.html#kinsei0101","市史通史編 近世第1章第1節第3項")</f>
        <v>市史通史編 近世第1章第1節第3項</v>
      </c>
      <c r="R496" s="347" t="s">
        <v>1298</v>
      </c>
    </row>
    <row r="497" spans="1:18" s="139" customFormat="1" ht="29.25" customHeight="1" x14ac:dyDescent="0.15">
      <c r="A497" s="136"/>
      <c r="B497" s="136"/>
      <c r="C497" s="137"/>
      <c r="D497" s="137"/>
      <c r="E497" s="138"/>
      <c r="F497" s="137"/>
      <c r="G497" s="137"/>
      <c r="H497" s="332"/>
      <c r="I497" s="346"/>
      <c r="J497" s="90"/>
      <c r="K497" s="136"/>
      <c r="L497" s="136"/>
      <c r="M497" s="136"/>
      <c r="N497" s="317" t="s">
        <v>1299</v>
      </c>
      <c r="O497" s="317" t="s">
        <v>1300</v>
      </c>
      <c r="P497" s="318" t="str">
        <f t="shared" si="7"/>
        <v>日本の歴史の中の亀山／近世の亀山／江戸幕府の成立と鎖国／定まった大名領地</v>
      </c>
      <c r="Q497" s="21" t="str">
        <f>HYPERLINK("http:/kameyamarekihaku.jp/sisi/tuusiHP_next/tuusi-index.html#kinsei0202","市史通史編 近世第2章第2節第1項")</f>
        <v>市史通史編 近世第2章第2節第1項</v>
      </c>
      <c r="R497" s="332"/>
    </row>
    <row r="498" spans="1:18" s="139" customFormat="1" ht="35.25" customHeight="1" x14ac:dyDescent="0.15">
      <c r="A498" s="136"/>
      <c r="B498" s="136"/>
      <c r="C498" s="137"/>
      <c r="D498" s="137"/>
      <c r="E498" s="138"/>
      <c r="F498" s="137"/>
      <c r="G498" s="137"/>
      <c r="H498" s="79"/>
      <c r="I498" s="346"/>
      <c r="J498" s="90"/>
      <c r="K498" s="136"/>
      <c r="L498" s="136"/>
      <c r="M498" s="136"/>
      <c r="N498" s="317"/>
      <c r="O498" s="317" t="e">
        <v>#VALUE!</v>
      </c>
      <c r="P498" s="318" t="str">
        <f t="shared" si="7"/>
        <v/>
      </c>
      <c r="Q498" s="21" t="str">
        <f>HYPERLINK("http:/kameyamarekihaku.jp/sisi/RekisiHP/kinsei/jousyu.html","市史近世ページ　亀山城主のうつりかわり")</f>
        <v>市史近世ページ　亀山城主のうつりかわり</v>
      </c>
      <c r="R498" s="332"/>
    </row>
    <row r="499" spans="1:18" s="139" customFormat="1" ht="20.25" customHeight="1" x14ac:dyDescent="0.15">
      <c r="A499" s="136"/>
      <c r="B499" s="136"/>
      <c r="C499" s="137"/>
      <c r="D499" s="137"/>
      <c r="E499" s="138"/>
      <c r="F499" s="137"/>
      <c r="G499" s="137"/>
      <c r="H499" s="79"/>
      <c r="I499" s="346"/>
      <c r="J499" s="90"/>
      <c r="K499" s="136"/>
      <c r="L499" s="136"/>
      <c r="M499" s="136"/>
      <c r="N499" s="19"/>
      <c r="O499" s="19" t="e">
        <v>#VALUE!</v>
      </c>
      <c r="P499" s="20" t="str">
        <f t="shared" si="7"/>
        <v/>
      </c>
      <c r="Q499" s="21" t="str">
        <f>HYPERLINK("http:/kameyamarekihaku.jp/dai14kaikikaku/03/framepage2.html","市史歴史分野　町名の歴史")</f>
        <v>市史歴史分野　町名の歴史</v>
      </c>
      <c r="R499" s="332"/>
    </row>
    <row r="500" spans="1:18" s="139" customFormat="1" ht="137.25" customHeight="1" x14ac:dyDescent="0.15">
      <c r="A500" s="151"/>
      <c r="B500" s="151"/>
      <c r="C500" s="152"/>
      <c r="D500" s="152"/>
      <c r="E500" s="153"/>
      <c r="F500" s="152"/>
      <c r="G500" s="152"/>
      <c r="H500" s="157"/>
      <c r="I500" s="353"/>
      <c r="J500" s="91"/>
      <c r="K500" s="151"/>
      <c r="L500" s="151"/>
      <c r="M500" s="151"/>
      <c r="N500" s="29"/>
      <c r="O500" s="29" t="e">
        <v>#VALUE!</v>
      </c>
      <c r="P500" s="30" t="str">
        <f t="shared" si="7"/>
        <v/>
      </c>
      <c r="Q500" s="10" t="str">
        <f>HYPERLINK("http://www.kameyamarekihaku.jp/sisi/seckam3/chizukouko.php","市史考古分野(各コンテンツ)「亀山城下町を歩く」")</f>
        <v>市史考古分野(各コンテンツ)「亀山城下町を歩く」</v>
      </c>
      <c r="R500" s="157"/>
    </row>
    <row r="501" spans="1:18" s="139" customFormat="1" ht="103.5" customHeight="1" x14ac:dyDescent="0.15">
      <c r="A501" s="142" t="s">
        <v>1107</v>
      </c>
      <c r="B501" s="142">
        <v>17</v>
      </c>
      <c r="C501" s="143" t="s">
        <v>1291</v>
      </c>
      <c r="D501" s="143">
        <v>1636</v>
      </c>
      <c r="E501" s="144" t="s">
        <v>20</v>
      </c>
      <c r="F501" s="143"/>
      <c r="G501" s="143" t="s">
        <v>1301</v>
      </c>
      <c r="H501" s="142" t="s">
        <v>1293</v>
      </c>
      <c r="I501" s="143"/>
      <c r="J501" s="142"/>
      <c r="K501" s="142" t="s">
        <v>1302</v>
      </c>
      <c r="L501" s="11" t="s">
        <v>1021</v>
      </c>
      <c r="M501" s="142"/>
      <c r="N501" s="23"/>
      <c r="O501" s="23" t="e">
        <v>#VALUE!</v>
      </c>
      <c r="P501" s="24" t="str">
        <f t="shared" si="7"/>
        <v/>
      </c>
      <c r="Q501" s="25" t="str">
        <f>HYPERLINK("http:/kameyamarekihaku.jp/sisi/RekisiHP/kinsei/jousyu.html","市史近世ページ　亀山城主のうつりかわり")</f>
        <v>市史近世ページ　亀山城主のうつりかわり</v>
      </c>
      <c r="R501" s="142" t="s">
        <v>1303</v>
      </c>
    </row>
    <row r="502" spans="1:18" s="139" customFormat="1" ht="15" customHeight="1" x14ac:dyDescent="0.15">
      <c r="A502" s="142" t="s">
        <v>1107</v>
      </c>
      <c r="B502" s="142">
        <v>17</v>
      </c>
      <c r="C502" s="143" t="s">
        <v>1304</v>
      </c>
      <c r="D502" s="143">
        <v>1637</v>
      </c>
      <c r="E502" s="144" t="s">
        <v>20</v>
      </c>
      <c r="F502" s="161" t="s">
        <v>1305</v>
      </c>
      <c r="G502" s="143"/>
      <c r="H502" s="142"/>
      <c r="I502" s="143"/>
      <c r="J502" s="142"/>
      <c r="K502" s="142"/>
      <c r="L502" s="142"/>
      <c r="M502" s="142"/>
      <c r="N502" s="12"/>
      <c r="O502" s="12" t="e">
        <v>#VALUE!</v>
      </c>
      <c r="P502" s="13" t="str">
        <f t="shared" si="7"/>
        <v/>
      </c>
      <c r="Q502" s="158"/>
      <c r="R502" s="142"/>
    </row>
    <row r="503" spans="1:18" s="139" customFormat="1" ht="57.75" customHeight="1" x14ac:dyDescent="0.15">
      <c r="A503" s="142" t="s">
        <v>1107</v>
      </c>
      <c r="B503" s="142">
        <v>17</v>
      </c>
      <c r="C503" s="143" t="s">
        <v>1304</v>
      </c>
      <c r="D503" s="143">
        <v>1637</v>
      </c>
      <c r="E503" s="144" t="s">
        <v>20</v>
      </c>
      <c r="F503" s="143"/>
      <c r="G503" s="143" t="s">
        <v>1306</v>
      </c>
      <c r="H503" s="142" t="s">
        <v>1293</v>
      </c>
      <c r="I503" s="143"/>
      <c r="J503" s="142"/>
      <c r="K503" s="142" t="s">
        <v>1295</v>
      </c>
      <c r="L503" s="11" t="s">
        <v>1021</v>
      </c>
      <c r="M503" s="142"/>
      <c r="N503" s="12" t="s">
        <v>1307</v>
      </c>
      <c r="O503" s="12" t="s">
        <v>1297</v>
      </c>
      <c r="P503" s="13" t="str">
        <f t="shared" si="7"/>
        <v>亀山城と宿場／江戸時代の亀山城主／本多俊次</v>
      </c>
      <c r="Q503" s="158"/>
      <c r="R503" s="142" t="s">
        <v>1308</v>
      </c>
    </row>
    <row r="504" spans="1:18" s="139" customFormat="1" ht="191.25" customHeight="1" x14ac:dyDescent="0.15">
      <c r="A504" s="142" t="s">
        <v>1107</v>
      </c>
      <c r="B504" s="142">
        <v>17</v>
      </c>
      <c r="C504" s="143" t="s">
        <v>1309</v>
      </c>
      <c r="D504" s="143">
        <v>1637</v>
      </c>
      <c r="E504" s="144" t="s">
        <v>20</v>
      </c>
      <c r="F504" s="143"/>
      <c r="G504" s="143" t="s">
        <v>1310</v>
      </c>
      <c r="H504" s="142" t="s">
        <v>1293</v>
      </c>
      <c r="I504" s="143"/>
      <c r="J504" s="142"/>
      <c r="K504" s="142"/>
      <c r="L504" s="142" t="s">
        <v>1311</v>
      </c>
      <c r="M504" s="142"/>
      <c r="N504" s="12"/>
      <c r="O504" s="12" t="e">
        <v>#VALUE!</v>
      </c>
      <c r="P504" s="13" t="str">
        <f t="shared" si="7"/>
        <v/>
      </c>
      <c r="Q504" s="158"/>
      <c r="R504" s="142" t="s">
        <v>1312</v>
      </c>
    </row>
    <row r="505" spans="1:18" s="139" customFormat="1" ht="65.45" customHeight="1" x14ac:dyDescent="0.15">
      <c r="A505" s="142" t="s">
        <v>1107</v>
      </c>
      <c r="B505" s="142">
        <v>17</v>
      </c>
      <c r="C505" s="143" t="s">
        <v>1313</v>
      </c>
      <c r="D505" s="143">
        <v>1638</v>
      </c>
      <c r="E505" s="144" t="s">
        <v>20</v>
      </c>
      <c r="F505" s="143" t="s">
        <v>1314</v>
      </c>
      <c r="G505" s="143" t="s">
        <v>1315</v>
      </c>
      <c r="H505" s="142" t="s">
        <v>1293</v>
      </c>
      <c r="I505" s="143"/>
      <c r="J505" s="142"/>
      <c r="K505" s="142"/>
      <c r="L505" s="142"/>
      <c r="M505" s="142"/>
      <c r="N505" s="23" t="s">
        <v>1316</v>
      </c>
      <c r="O505" s="23" t="s">
        <v>1317</v>
      </c>
      <c r="P505" s="24" t="str">
        <f t="shared" si="7"/>
        <v>日本の歴史の中の亀山／近世の亀山／鎖国の中の海外／農業や諸産業の発達／新田の状況</v>
      </c>
      <c r="Q505" s="25"/>
      <c r="R505" s="142" t="s">
        <v>1318</v>
      </c>
    </row>
    <row r="506" spans="1:18" s="139" customFormat="1" ht="15" customHeight="1" x14ac:dyDescent="0.15">
      <c r="A506" s="145" t="s">
        <v>1107</v>
      </c>
      <c r="B506" s="145">
        <v>17</v>
      </c>
      <c r="C506" s="146" t="s">
        <v>1313</v>
      </c>
      <c r="D506" s="146">
        <v>1638</v>
      </c>
      <c r="E506" s="147" t="s">
        <v>20</v>
      </c>
      <c r="F506" s="146"/>
      <c r="G506" s="146" t="s">
        <v>1319</v>
      </c>
      <c r="H506" s="145" t="s">
        <v>464</v>
      </c>
      <c r="I506" s="146" t="s">
        <v>1157</v>
      </c>
      <c r="J506" s="145" t="s">
        <v>1101</v>
      </c>
      <c r="K506" s="145" t="s">
        <v>1295</v>
      </c>
      <c r="L506" s="179" t="str">
        <f>HYPERLINK("http://kameyamarekihaku.jp/sisi/koukoHP/archives/kamejyouezuga/01/01-01/gi.html?pf=KJEZUG0101-01-003.jpg&amp;pn=%E4%BA%80%E5%B1%B1%E5%9F%8E%E7%B5%B5%E5%9B%B307-%E5%8B%A2%E5%B7%9E%E4%BA%80%E5%B1%B1%E5%BE%A1%E5%9F%8E%E5%BB%BB%E5%BE%A1%E7%B5%B5%E5%9B%B3","正保亀山城絵図「亀山城廻絵図」")</f>
        <v>正保亀山城絵図「亀山城廻絵図」</v>
      </c>
      <c r="M506" s="145"/>
      <c r="N506" s="32" t="s">
        <v>1320</v>
      </c>
      <c r="O506" s="32" t="s">
        <v>1024</v>
      </c>
      <c r="P506" s="33" t="str">
        <f t="shared" si="7"/>
        <v>亀山城と宿場／亀山城のつくり</v>
      </c>
      <c r="Q506" s="17" t="str">
        <f>HYPERLINK("http:/kameyamarekihaku.jp/sisi/tuusiHP_next/tuusi-index.html#kinsei0101","市史通史編 近世第1章第1節第3項")</f>
        <v>市史通史編 近世第1章第1節第3項</v>
      </c>
      <c r="R506" s="347" t="s">
        <v>1321</v>
      </c>
    </row>
    <row r="507" spans="1:18" s="139" customFormat="1" ht="18" customHeight="1" x14ac:dyDescent="0.15">
      <c r="A507" s="136"/>
      <c r="B507" s="136"/>
      <c r="C507" s="137"/>
      <c r="D507" s="137"/>
      <c r="E507" s="138"/>
      <c r="F507" s="137"/>
      <c r="G507" s="137"/>
      <c r="H507" s="136"/>
      <c r="I507" s="137"/>
      <c r="J507" s="136"/>
      <c r="K507" s="136"/>
      <c r="L507" s="136" t="s">
        <v>1322</v>
      </c>
      <c r="M507" s="136"/>
      <c r="N507" s="19" t="s">
        <v>1323</v>
      </c>
      <c r="O507" s="19" t="s">
        <v>1324</v>
      </c>
      <c r="P507" s="20" t="str">
        <f t="shared" si="7"/>
        <v>亀山城と宿場／亀山城の完成</v>
      </c>
      <c r="Q507" s="79"/>
      <c r="R507" s="332"/>
    </row>
    <row r="508" spans="1:18" s="139" customFormat="1" ht="16.5" customHeight="1" x14ac:dyDescent="0.15">
      <c r="A508" s="136"/>
      <c r="B508" s="136"/>
      <c r="C508" s="137"/>
      <c r="D508" s="137"/>
      <c r="E508" s="138"/>
      <c r="F508" s="137"/>
      <c r="G508" s="137"/>
      <c r="H508" s="136"/>
      <c r="I508" s="137"/>
      <c r="J508" s="136"/>
      <c r="K508" s="136"/>
      <c r="L508" s="131" t="str">
        <f>HYPERLINK("http://kameyamarekihaku.jp/yane_no_nai/unit_leaf/A-18.pdf","歴博貸出ユニットA－18")</f>
        <v>歴博貸出ユニットA－18</v>
      </c>
      <c r="M508" s="136"/>
      <c r="N508" s="19" t="s">
        <v>1325</v>
      </c>
      <c r="O508" s="19" t="s">
        <v>1324</v>
      </c>
      <c r="P508" s="20" t="str">
        <f t="shared" si="7"/>
        <v>亀山城と宿場／亀山城の完成</v>
      </c>
      <c r="Q508" s="79"/>
      <c r="R508" s="332"/>
    </row>
    <row r="509" spans="1:18" s="139" customFormat="1" ht="36" customHeight="1" x14ac:dyDescent="0.15">
      <c r="A509" s="136"/>
      <c r="B509" s="136"/>
      <c r="C509" s="137"/>
      <c r="D509" s="137"/>
      <c r="E509" s="138"/>
      <c r="F509" s="137"/>
      <c r="G509" s="137"/>
      <c r="H509" s="136"/>
      <c r="I509" s="137"/>
      <c r="J509" s="136"/>
      <c r="K509" s="136"/>
      <c r="L509" s="41"/>
      <c r="M509" s="136"/>
      <c r="N509" s="19" t="s">
        <v>1307</v>
      </c>
      <c r="O509" s="19" t="s">
        <v>1297</v>
      </c>
      <c r="P509" s="20" t="str">
        <f t="shared" si="7"/>
        <v>亀山城と宿場／江戸時代の亀山城主／本多俊次</v>
      </c>
      <c r="Q509" s="79"/>
      <c r="R509" s="79"/>
    </row>
    <row r="510" spans="1:18" s="139" customFormat="1" ht="36" customHeight="1" x14ac:dyDescent="0.15">
      <c r="A510" s="151"/>
      <c r="B510" s="151"/>
      <c r="C510" s="152"/>
      <c r="D510" s="152"/>
      <c r="E510" s="153"/>
      <c r="F510" s="152"/>
      <c r="G510" s="152"/>
      <c r="H510" s="151"/>
      <c r="I510" s="152"/>
      <c r="J510" s="151"/>
      <c r="K510" s="151"/>
      <c r="L510" s="107"/>
      <c r="M510" s="151"/>
      <c r="N510" s="29" t="s">
        <v>1326</v>
      </c>
      <c r="O510" s="29" t="s">
        <v>1327</v>
      </c>
      <c r="P510" s="30" t="str">
        <f t="shared" si="7"/>
        <v>亀山のむかしばなし／おもしろいおはなし／本多俊次の大失敗</v>
      </c>
      <c r="Q510" s="157"/>
      <c r="R510" s="157"/>
    </row>
    <row r="511" spans="1:18" s="139" customFormat="1" ht="12.75" customHeight="1" x14ac:dyDescent="0.15">
      <c r="A511" s="142" t="s">
        <v>1107</v>
      </c>
      <c r="B511" s="142">
        <v>17</v>
      </c>
      <c r="C511" s="143" t="s">
        <v>1313</v>
      </c>
      <c r="D511" s="143">
        <v>1638</v>
      </c>
      <c r="E511" s="144" t="s">
        <v>59</v>
      </c>
      <c r="F511" s="143" t="s">
        <v>1328</v>
      </c>
      <c r="G511" s="143"/>
      <c r="H511" s="142"/>
      <c r="I511" s="143"/>
      <c r="J511" s="142"/>
      <c r="K511" s="142"/>
      <c r="L511" s="142"/>
      <c r="M511" s="142"/>
      <c r="N511" s="12"/>
      <c r="O511" s="12" t="e">
        <v>#VALUE!</v>
      </c>
      <c r="P511" s="13" t="str">
        <f t="shared" si="7"/>
        <v/>
      </c>
      <c r="Q511" s="158"/>
      <c r="R511" s="142"/>
    </row>
    <row r="512" spans="1:18" s="139" customFormat="1" ht="88.5" customHeight="1" x14ac:dyDescent="0.15">
      <c r="A512" s="142" t="s">
        <v>1107</v>
      </c>
      <c r="B512" s="142">
        <v>17</v>
      </c>
      <c r="C512" s="143" t="s">
        <v>1313</v>
      </c>
      <c r="D512" s="143">
        <v>1638</v>
      </c>
      <c r="E512" s="144" t="s">
        <v>20</v>
      </c>
      <c r="F512" s="143"/>
      <c r="G512" s="143" t="s">
        <v>1329</v>
      </c>
      <c r="H512" s="142" t="s">
        <v>1293</v>
      </c>
      <c r="I512" s="143"/>
      <c r="J512" s="142"/>
      <c r="K512" s="142" t="s">
        <v>1330</v>
      </c>
      <c r="L512" s="142" t="s">
        <v>1331</v>
      </c>
      <c r="M512" s="142"/>
      <c r="N512" s="23"/>
      <c r="O512" s="23" t="e">
        <v>#VALUE!</v>
      </c>
      <c r="P512" s="24" t="str">
        <f t="shared" si="7"/>
        <v/>
      </c>
      <c r="Q512" s="25" t="str">
        <f>HYPERLINK("http:/kameyamarekihaku.jp/sisi/tuusiHP_next/tuusi-index.html#kinsei0502","市史通史編 近世第5章第2節第1項")</f>
        <v>市史通史編 近世第5章第2節第1項</v>
      </c>
      <c r="R512" s="120" t="s">
        <v>1332</v>
      </c>
    </row>
    <row r="513" spans="1:18" s="139" customFormat="1" ht="13.15" customHeight="1" x14ac:dyDescent="0.15">
      <c r="A513" s="142" t="s">
        <v>1107</v>
      </c>
      <c r="B513" s="142">
        <v>17</v>
      </c>
      <c r="C513" s="143" t="s">
        <v>1333</v>
      </c>
      <c r="D513" s="143">
        <v>1641</v>
      </c>
      <c r="E513" s="144" t="s">
        <v>59</v>
      </c>
      <c r="F513" s="143" t="s">
        <v>1334</v>
      </c>
      <c r="G513" s="142"/>
      <c r="H513" s="142"/>
      <c r="I513" s="142"/>
      <c r="J513" s="142"/>
      <c r="K513" s="142"/>
      <c r="L513" s="142"/>
      <c r="M513" s="142"/>
      <c r="N513" s="177"/>
      <c r="O513" s="177" t="e">
        <v>#VALUE!</v>
      </c>
      <c r="P513" s="178" t="str">
        <f t="shared" si="7"/>
        <v/>
      </c>
      <c r="Q513" s="158"/>
    </row>
    <row r="514" spans="1:18" s="139" customFormat="1" ht="13.15" customHeight="1" x14ac:dyDescent="0.15">
      <c r="A514" s="142" t="s">
        <v>1107</v>
      </c>
      <c r="B514" s="142">
        <v>17</v>
      </c>
      <c r="C514" s="143" t="s">
        <v>1333</v>
      </c>
      <c r="D514" s="143">
        <v>1641</v>
      </c>
      <c r="E514" s="180" t="s">
        <v>20</v>
      </c>
      <c r="F514" s="143"/>
      <c r="G514" s="143" t="s">
        <v>1335</v>
      </c>
      <c r="H514" s="142" t="s">
        <v>1336</v>
      </c>
      <c r="I514" s="143" t="s">
        <v>1336</v>
      </c>
      <c r="J514" s="142" t="s">
        <v>1337</v>
      </c>
      <c r="K514" s="142"/>
      <c r="L514" s="142"/>
      <c r="M514" s="142"/>
      <c r="N514" s="12"/>
      <c r="O514" s="12" t="e">
        <v>#VALUE!</v>
      </c>
      <c r="P514" s="13" t="str">
        <f t="shared" si="7"/>
        <v/>
      </c>
      <c r="Q514" s="158"/>
      <c r="R514" s="142" t="s">
        <v>1338</v>
      </c>
    </row>
    <row r="515" spans="1:18" s="139" customFormat="1" ht="30.75" customHeight="1" x14ac:dyDescent="0.15">
      <c r="A515" s="145" t="s">
        <v>1107</v>
      </c>
      <c r="B515" s="145">
        <v>17</v>
      </c>
      <c r="C515" s="146" t="s">
        <v>1339</v>
      </c>
      <c r="D515" s="146">
        <v>1642</v>
      </c>
      <c r="E515" s="181" t="s">
        <v>20</v>
      </c>
      <c r="F515" s="146"/>
      <c r="G515" s="146" t="s">
        <v>1340</v>
      </c>
      <c r="H515" s="145" t="s">
        <v>1341</v>
      </c>
      <c r="I515" s="146" t="s">
        <v>1342</v>
      </c>
      <c r="J515" s="145"/>
      <c r="K515" s="145"/>
      <c r="L515" s="17" t="str">
        <f>HYPERLINK("http:/kameyamarekihaku.jp/sisi/tuusiHP_next/kinsei/image/06/gi.htm?pf=2149sh076-1.JPG&amp;?pn=%E5%AF%9B%E6%B0%B815%E5%B9%B4%E3%81%AB%E4%BD%9C%E6%88%90%E3%81%95%E3%82%8C%E3%81%9F%E5%AE%97%E6%97%A8%E6%94%B9%E5%B8%B3%E5%B7%BB%E9%A0%AD%E9%83%A8%E5%88%86","「宗旨改帳」（館蔵加藤家文書52-0-14）")</f>
        <v>「宗旨改帳」（館蔵加藤家文書52-0-14）</v>
      </c>
      <c r="M515" s="145"/>
      <c r="N515" s="310" t="s">
        <v>1343</v>
      </c>
      <c r="O515" s="32" t="s">
        <v>1344</v>
      </c>
      <c r="P515" s="356" t="str">
        <f t="shared" ref="P515" si="8">IFERROR(HYPERLINK(O515,N515),"")</f>
        <v>日本の歴史の中の亀山／近世の亀山／江戸幕府の成立と鎖国／鎖国と禁教／宗旨人別帳の作成と寺院</v>
      </c>
      <c r="Q515" s="182" t="str">
        <f>HYPERLINK("http://kameyamarekihaku.jp/raikan_demae/140217_kame_chu.html","亀中2年授業支援実践例「農業や諸産業の発達」")</f>
        <v>亀中2年授業支援実践例「農業や諸産業の発達」</v>
      </c>
      <c r="R515" s="347" t="s">
        <v>1345</v>
      </c>
    </row>
    <row r="516" spans="1:18" s="139" customFormat="1" ht="33.75" customHeight="1" x14ac:dyDescent="0.15">
      <c r="A516" s="136"/>
      <c r="B516" s="136"/>
      <c r="C516" s="137"/>
      <c r="D516" s="137"/>
      <c r="E516" s="183"/>
      <c r="F516" s="137"/>
      <c r="G516" s="137"/>
      <c r="H516" s="136"/>
      <c r="I516" s="137"/>
      <c r="J516" s="136"/>
      <c r="K516" s="136"/>
      <c r="L516" s="21" t="str">
        <f>HYPERLINK("http:/kameyamarekihaku.jp/sisi/tuusiHP_next/kinsei/image/06/gi.htm?pf=2148sh075-2.JPG&amp;?pn=%E3%80%8C%E5%AE%97%E6%97%A8%E6%94%B9%E5%B8%B3%E5%8A%A0%E8%97%A4%E6%96%8E%E4%B9%8B%E5%8A%A9%E7%B5%84%E3%80%8D%EF%BC%88%E5%AF%9B%E6%96%875%E5%B9%B4%EF%BC%89%0A","「宗旨改帳加藤斎之助組」（館蔵加藤家文書38-0-1）")</f>
        <v>「宗旨改帳加藤斎之助組」（館蔵加藤家文書38-0-1）</v>
      </c>
      <c r="M516" s="136"/>
      <c r="N516" s="317"/>
      <c r="O516" s="19" t="e">
        <v>#VALUE!</v>
      </c>
      <c r="P516" s="323"/>
      <c r="Q516" s="357" t="str">
        <f>HYPERLINK("http://kameyamarekihaku.jp/raikan_demae/131017_hiruo.html","昼小6年出前授業実践例「身近なところから江戸時代をさがそう」")</f>
        <v>昼小6年出前授業実践例「身近なところから江戸時代をさがそう」</v>
      </c>
      <c r="R516" s="332"/>
    </row>
    <row r="517" spans="1:18" s="139" customFormat="1" ht="29.25" customHeight="1" x14ac:dyDescent="0.15">
      <c r="A517" s="136"/>
      <c r="B517" s="136"/>
      <c r="C517" s="137"/>
      <c r="D517" s="137"/>
      <c r="E517" s="183"/>
      <c r="F517" s="137"/>
      <c r="G517" s="137"/>
      <c r="H517" s="136"/>
      <c r="I517" s="137"/>
      <c r="J517" s="136"/>
      <c r="K517" s="136"/>
      <c r="L517" s="10" t="str">
        <f>HYPERLINK("http:/kameyamarekihaku.jp/sisi/tuusiHP_next/kinsei/image/06/gi.htm?pf=2152sh077-2.JPG&amp;?pn=%E5%AE%97%E6%97%A8%E6%94%B9%E5%B8%B3%EF%BC%88%E4%BA%AB%E4%BF%9D6%E5%B9%B4%EF%BC%89%E3%80%80%E6%A2%85%E5%B2%A9%E5%AF%BA%E8%A8%98%E8%BC%89%E9%83%A8%E5%88%86%0A","「宗旨改帳」（館蔵加藤家文書60-0-110）")</f>
        <v>「宗旨改帳」（館蔵加藤家文書60-0-110）</v>
      </c>
      <c r="M517" s="136"/>
      <c r="N517" s="19"/>
      <c r="O517" s="19" t="e">
        <v>#VALUE!</v>
      </c>
      <c r="P517" s="20" t="str">
        <f t="shared" ref="P517:P580" si="9">IFERROR(HYPERLINK(O517,N517),"")</f>
        <v/>
      </c>
      <c r="Q517" s="358"/>
      <c r="R517" s="332"/>
    </row>
    <row r="518" spans="1:18" s="139" customFormat="1" ht="19.5" customHeight="1" x14ac:dyDescent="0.15">
      <c r="A518" s="164" t="s">
        <v>1107</v>
      </c>
      <c r="B518" s="184">
        <v>17</v>
      </c>
      <c r="C518" s="185" t="s">
        <v>1346</v>
      </c>
      <c r="D518" s="186">
        <v>1650</v>
      </c>
      <c r="E518" s="181" t="s">
        <v>20</v>
      </c>
      <c r="F518" s="181"/>
      <c r="G518" s="185" t="s">
        <v>1347</v>
      </c>
      <c r="H518" s="88" t="s">
        <v>28</v>
      </c>
      <c r="I518" s="163" t="s">
        <v>1348</v>
      </c>
      <c r="J518" s="117" t="s">
        <v>1349</v>
      </c>
      <c r="K518" s="88"/>
      <c r="L518" s="354" t="s">
        <v>1350</v>
      </c>
      <c r="M518" s="88"/>
      <c r="N518" s="32" t="s">
        <v>1351</v>
      </c>
      <c r="O518" s="32" t="s">
        <v>923</v>
      </c>
      <c r="P518" s="33" t="str">
        <f t="shared" si="9"/>
        <v>むかしの道と交通／亀山の近世の道</v>
      </c>
      <c r="Q518" s="48" t="str">
        <f>HYPERLINK("http:/kameyamarekihaku.jp/sisi/tuusiHP_next/tuusi-index.html#kinsei0502","市史通史編 近世第5章第2節第4項")</f>
        <v>市史通史編 近世第5章第2節第4項</v>
      </c>
      <c r="R518" s="347" t="s">
        <v>1352</v>
      </c>
    </row>
    <row r="519" spans="1:18" s="139" customFormat="1" ht="35.25" customHeight="1" x14ac:dyDescent="0.15">
      <c r="A519" s="166"/>
      <c r="B519" s="187"/>
      <c r="C519" s="167"/>
      <c r="D519" s="188"/>
      <c r="E519" s="183"/>
      <c r="F519" s="183"/>
      <c r="G519" s="167"/>
      <c r="H519" s="90"/>
      <c r="I519" s="165"/>
      <c r="J519" s="115"/>
      <c r="K519" s="90"/>
      <c r="L519" s="325"/>
      <c r="M519" s="90"/>
      <c r="N519" s="19" t="s">
        <v>1353</v>
      </c>
      <c r="O519" s="19" t="s">
        <v>1354</v>
      </c>
      <c r="P519" s="20" t="str">
        <f t="shared" si="9"/>
        <v>亀山のむかしばなし／こわいはなし／大洪水の話／亀山の大洪水</v>
      </c>
      <c r="Q519" s="49"/>
      <c r="R519" s="332"/>
    </row>
    <row r="520" spans="1:18" s="139" customFormat="1" ht="35.25" customHeight="1" x14ac:dyDescent="0.15">
      <c r="A520" s="172"/>
      <c r="B520" s="189"/>
      <c r="C520" s="170"/>
      <c r="D520" s="190"/>
      <c r="E520" s="191"/>
      <c r="F520" s="191"/>
      <c r="G520" s="170"/>
      <c r="H520" s="91"/>
      <c r="I520" s="169"/>
      <c r="J520" s="118"/>
      <c r="K520" s="91"/>
      <c r="L520" s="326"/>
      <c r="M520" s="91"/>
      <c r="N520" s="29" t="s">
        <v>1355</v>
      </c>
      <c r="O520" s="29" t="s">
        <v>1234</v>
      </c>
      <c r="P520" s="30" t="str">
        <f t="shared" si="9"/>
        <v>亀山城と宿場／４つの宿場／鈴鹿峠ふもとの宿場 坂下宿</v>
      </c>
      <c r="Q520" s="46"/>
      <c r="R520" s="157"/>
    </row>
    <row r="521" spans="1:18" s="139" customFormat="1" ht="59.25" customHeight="1" x14ac:dyDescent="0.15">
      <c r="A521" s="192" t="s">
        <v>1107</v>
      </c>
      <c r="B521" s="193">
        <v>17</v>
      </c>
      <c r="C521" s="194" t="s">
        <v>1346</v>
      </c>
      <c r="D521" s="195">
        <v>1650</v>
      </c>
      <c r="E521" s="180" t="s">
        <v>20</v>
      </c>
      <c r="F521" s="180"/>
      <c r="G521" s="194" t="s">
        <v>1356</v>
      </c>
      <c r="H521" s="120" t="s">
        <v>464</v>
      </c>
      <c r="I521" s="175" t="s">
        <v>1357</v>
      </c>
      <c r="J521" s="142" t="s">
        <v>1101</v>
      </c>
      <c r="K521" s="120"/>
      <c r="L521" s="22"/>
      <c r="M521" s="120"/>
      <c r="N521" s="23"/>
      <c r="O521" s="23" t="e">
        <v>#VALUE!</v>
      </c>
      <c r="P521" s="24" t="str">
        <f t="shared" si="9"/>
        <v/>
      </c>
      <c r="Q521" s="25" t="str">
        <f>HYPERLINK("http:/kameyamarekihaku.jp/sisi/tuusiHP_next/tuusi-index.html#kinsei0502","市史通史編 近世第5章第2節第1項")</f>
        <v>市史通史編 近世第5章第2節第1項</v>
      </c>
      <c r="R521" s="142" t="s">
        <v>1358</v>
      </c>
    </row>
    <row r="522" spans="1:18" s="139" customFormat="1" ht="26.25" customHeight="1" x14ac:dyDescent="0.15">
      <c r="A522" s="88" t="s">
        <v>1107</v>
      </c>
      <c r="B522" s="88">
        <v>17</v>
      </c>
      <c r="C522" s="163" t="s">
        <v>1359</v>
      </c>
      <c r="D522" s="163">
        <v>1651</v>
      </c>
      <c r="E522" s="181" t="s">
        <v>20</v>
      </c>
      <c r="F522" s="163"/>
      <c r="G522" s="163" t="s">
        <v>1360</v>
      </c>
      <c r="H522" s="88" t="s">
        <v>28</v>
      </c>
      <c r="I522" s="163" t="s">
        <v>1361</v>
      </c>
      <c r="J522" s="71" t="str">
        <f>HYPERLINK("http://kameyamarekihaku.jp/sisi/tuusiHP_next/kochuusei/image/10/gi.htm?pf=1301sh183.JPG&amp;?pn=%20%E7%8F%BE%E5%9C%A8%E3%81%AE%E5%9D%82%E4%B8%8B%E5%AE%BF%EF%BC%88%E9%96%A2%E7%94%BA%E5%9D%82%E4%B8%8B%EF%BC%89","坂下宿")</f>
        <v>坂下宿</v>
      </c>
      <c r="K522" s="88"/>
      <c r="L522" s="88"/>
      <c r="M522" s="88"/>
      <c r="N522" s="32" t="s">
        <v>1362</v>
      </c>
      <c r="O522" s="32" t="s">
        <v>923</v>
      </c>
      <c r="P522" s="33" t="str">
        <f t="shared" si="9"/>
        <v>むかしの道と交通／亀山の近世の道</v>
      </c>
      <c r="Q522" s="48"/>
      <c r="R522" s="145" t="s">
        <v>1363</v>
      </c>
    </row>
    <row r="523" spans="1:18" s="139" customFormat="1" ht="36.75" customHeight="1" x14ac:dyDescent="0.15">
      <c r="A523" s="91"/>
      <c r="B523" s="91"/>
      <c r="C523" s="169"/>
      <c r="D523" s="169"/>
      <c r="E523" s="191"/>
      <c r="F523" s="169"/>
      <c r="G523" s="169"/>
      <c r="H523" s="91"/>
      <c r="I523" s="169"/>
      <c r="J523" s="102"/>
      <c r="K523" s="91"/>
      <c r="L523" s="91"/>
      <c r="M523" s="91"/>
      <c r="N523" s="29" t="s">
        <v>1355</v>
      </c>
      <c r="O523" s="29" t="s">
        <v>1234</v>
      </c>
      <c r="P523" s="30" t="str">
        <f t="shared" si="9"/>
        <v>亀山城と宿場／４つの宿場／鈴鹿峠ふもとの宿場 坂下宿</v>
      </c>
      <c r="Q523" s="46"/>
      <c r="R523" s="151"/>
    </row>
    <row r="524" spans="1:18" s="139" customFormat="1" ht="16.5" customHeight="1" x14ac:dyDescent="0.15">
      <c r="A524" s="145" t="s">
        <v>1107</v>
      </c>
      <c r="B524" s="145">
        <v>17</v>
      </c>
      <c r="C524" s="146" t="s">
        <v>1359</v>
      </c>
      <c r="D524" s="146">
        <v>1651</v>
      </c>
      <c r="E524" s="181" t="s">
        <v>20</v>
      </c>
      <c r="F524" s="146"/>
      <c r="G524" s="146" t="s">
        <v>1364</v>
      </c>
      <c r="H524" s="145"/>
      <c r="I524" s="146"/>
      <c r="J524" s="145" t="s">
        <v>1101</v>
      </c>
      <c r="K524" s="145" t="s">
        <v>1365</v>
      </c>
      <c r="L524" s="145"/>
      <c r="M524" s="145"/>
      <c r="N524" s="310" t="s">
        <v>1366</v>
      </c>
      <c r="O524" s="310" t="s">
        <v>1367</v>
      </c>
      <c r="P524" s="311" t="str">
        <f t="shared" si="9"/>
        <v>亀山城と宿場／江戸時代の亀山城主／石川昌勝</v>
      </c>
      <c r="Q524" s="16" t="str">
        <f>HYPERLINK("http:/kameyamarekihaku.jp/sisi/tuusiHP_next/kinsei/image/02/gi.htm?pf=2076zu013.JPG&amp;?pn=%20%E7%9F%B3%E5%B7%9D%E5%AE%B6%E8%BB%A2%E5%B0%81%E3%81%AE%E7%B5%8C%E6%AD%B4%E3%80%80%E3%80%8E%E9%9B%A3%E7%A0%B4%E9%8C%B2%E3%80%8F","石川家転封の経歴")</f>
        <v>石川家転封の経歴</v>
      </c>
      <c r="R524" s="347" t="s">
        <v>1368</v>
      </c>
    </row>
    <row r="525" spans="1:18" s="139" customFormat="1" ht="27.75" customHeight="1" x14ac:dyDescent="0.15">
      <c r="A525" s="136"/>
      <c r="B525" s="136"/>
      <c r="C525" s="137"/>
      <c r="D525" s="137"/>
      <c r="E525" s="183"/>
      <c r="F525" s="137"/>
      <c r="G525" s="137"/>
      <c r="H525" s="136"/>
      <c r="I525" s="137"/>
      <c r="J525" s="136"/>
      <c r="K525" s="136"/>
      <c r="L525" s="136"/>
      <c r="M525" s="136"/>
      <c r="N525" s="317"/>
      <c r="O525" s="317" t="e">
        <v>#VALUE!</v>
      </c>
      <c r="P525" s="318" t="str">
        <f t="shared" si="9"/>
        <v/>
      </c>
      <c r="Q525" s="21" t="str">
        <f>HYPERLINK("http:/kameyamarekihaku.jp/sisi/tuusiHP_next/tuusi-index.html#kinsei0202","市史通史編 近世第2章第2節第2項")</f>
        <v>市史通史編 近世第2章第2節第2項</v>
      </c>
      <c r="R525" s="332"/>
    </row>
    <row r="526" spans="1:18" s="139" customFormat="1" ht="32.25" customHeight="1" x14ac:dyDescent="0.15">
      <c r="A526" s="151"/>
      <c r="B526" s="151"/>
      <c r="C526" s="152"/>
      <c r="D526" s="152"/>
      <c r="E526" s="191"/>
      <c r="F526" s="152"/>
      <c r="G526" s="152"/>
      <c r="H526" s="151"/>
      <c r="I526" s="152"/>
      <c r="J526" s="151"/>
      <c r="K526" s="151"/>
      <c r="L526" s="151"/>
      <c r="M526" s="151"/>
      <c r="N526" s="29"/>
      <c r="O526" s="29" t="e">
        <v>#VALUE!</v>
      </c>
      <c r="P526" s="30" t="str">
        <f t="shared" si="9"/>
        <v/>
      </c>
      <c r="Q526" s="10" t="str">
        <f>HYPERLINK("http:/kameyamarekihaku.jp/sisi/RekisiHP/kinsei/jousyu.html","市史近世ページ　亀山城主のうつりかわり")</f>
        <v>市史近世ページ　亀山城主のうつりかわり</v>
      </c>
      <c r="R526" s="348"/>
    </row>
    <row r="527" spans="1:18" s="6" customFormat="1" ht="26.25" customHeight="1" x14ac:dyDescent="0.15">
      <c r="A527" s="120" t="s">
        <v>1107</v>
      </c>
      <c r="B527" s="120">
        <v>17</v>
      </c>
      <c r="C527" s="175" t="s">
        <v>1369</v>
      </c>
      <c r="D527" s="175">
        <v>1653</v>
      </c>
      <c r="E527" s="181" t="s">
        <v>20</v>
      </c>
      <c r="F527" s="175"/>
      <c r="G527" s="175" t="s">
        <v>1370</v>
      </c>
      <c r="H527" s="120" t="s">
        <v>199</v>
      </c>
      <c r="I527" s="175"/>
      <c r="J527" s="22" t="str">
        <f>HYPERLINK("http://kameyamarekihaku.jp/sisi/tuusiHP_next/kochuusei/image/06/gi.htm?pf=1187sh102.JPG&amp;?pn=%E9%88%B4%E9%B9%BF%E5%B3%A0%EF%BC%88%E3%83%87%E3%82%B8%E3%82%BF%E3%83%AB%E5%85%B1%E6%9C%89%E5%9C%B0%E5%9B%B3%EF%BC%89%E3%80%80","鈴鹿峠")</f>
        <v>鈴鹿峠</v>
      </c>
      <c r="K527" s="120" t="s">
        <v>1371</v>
      </c>
      <c r="L527" s="120"/>
      <c r="M527" s="120"/>
      <c r="N527" s="12"/>
      <c r="O527" s="12" t="e">
        <v>#VALUE!</v>
      </c>
      <c r="P527" s="13" t="str">
        <f t="shared" si="9"/>
        <v/>
      </c>
      <c r="Q527" s="192"/>
      <c r="R527" s="120" t="s">
        <v>1372</v>
      </c>
    </row>
    <row r="528" spans="1:18" s="139" customFormat="1" ht="37.5" customHeight="1" x14ac:dyDescent="0.15">
      <c r="A528" s="142" t="s">
        <v>1107</v>
      </c>
      <c r="B528" s="142">
        <v>17</v>
      </c>
      <c r="C528" s="143" t="s">
        <v>1373</v>
      </c>
      <c r="D528" s="143">
        <v>1654</v>
      </c>
      <c r="E528" s="181" t="s">
        <v>20</v>
      </c>
      <c r="F528" s="143"/>
      <c r="G528" s="143" t="s">
        <v>1374</v>
      </c>
      <c r="H528" s="142" t="s">
        <v>464</v>
      </c>
      <c r="I528" s="143" t="s">
        <v>1157</v>
      </c>
      <c r="J528" s="142" t="s">
        <v>1101</v>
      </c>
      <c r="K528" s="142"/>
      <c r="L528" s="25" t="str">
        <f>HYPERLINK("http://kameyamarekihaku.jp/sisi/koukoHP/archives/kamejyoufurusya/01/01-02/gi.html?pf=KJFRUS0102-02-003.jpg&amp;pn=%20%E4%B8%89%E9%87%8D%E6%AB%93%E5%8F%A4%E5%86%99%E7%9C%9F","画像史料：三重櫓")</f>
        <v>画像史料：三重櫓</v>
      </c>
      <c r="M528" s="142"/>
      <c r="N528" s="23" t="s">
        <v>1375</v>
      </c>
      <c r="O528" s="23" t="s">
        <v>1376</v>
      </c>
      <c r="P528" s="24" t="str">
        <f t="shared" si="9"/>
        <v>亀山城と宿場／亀山城のつくり／櫓／三重櫓</v>
      </c>
      <c r="Q528" s="25" t="str">
        <f>HYPERLINK("http://www.kameyamarekihaku.jp/sisi/seckam3/chizushiro.php","市史考古分野(各コンテンツ)「亀山城跡を歩く」")</f>
        <v>市史考古分野(各コンテンツ)「亀山城跡を歩く」</v>
      </c>
      <c r="R528" s="142" t="s">
        <v>1377</v>
      </c>
    </row>
    <row r="529" spans="1:18" s="139" customFormat="1" ht="21.75" customHeight="1" x14ac:dyDescent="0.15">
      <c r="A529" s="145" t="s">
        <v>1107</v>
      </c>
      <c r="B529" s="145">
        <v>17</v>
      </c>
      <c r="C529" s="146" t="s">
        <v>1378</v>
      </c>
      <c r="D529" s="146">
        <v>1655</v>
      </c>
      <c r="E529" s="147" t="s">
        <v>59</v>
      </c>
      <c r="F529" s="146"/>
      <c r="G529" s="146" t="s">
        <v>1379</v>
      </c>
      <c r="H529" s="145"/>
      <c r="I529" s="146"/>
      <c r="J529" s="145" t="s">
        <v>1380</v>
      </c>
      <c r="K529" s="145"/>
      <c r="L529" s="115" t="s">
        <v>1381</v>
      </c>
      <c r="M529" s="145"/>
      <c r="N529" s="310" t="s">
        <v>1382</v>
      </c>
      <c r="O529" s="310" t="s">
        <v>1383</v>
      </c>
      <c r="P529" s="311" t="str">
        <f t="shared" si="9"/>
        <v>日本の歴史の中の亀山／近世の亀山／鎖国の中の海外／亀山城主と朝鮮通信使</v>
      </c>
      <c r="Q529" s="17" t="str">
        <f>HYPERLINK("http:/kameyamarekihaku.jp/sisi/tuusiHP_next/tuusi-index.html#kinsei0203","市史通史編 近世第2章第3節")</f>
        <v>市史通史編 近世第2章第3節</v>
      </c>
      <c r="R529" s="347" t="s">
        <v>1384</v>
      </c>
    </row>
    <row r="530" spans="1:18" s="139" customFormat="1" ht="42" customHeight="1" x14ac:dyDescent="0.15">
      <c r="A530" s="151"/>
      <c r="B530" s="151"/>
      <c r="C530" s="152"/>
      <c r="D530" s="152"/>
      <c r="E530" s="153"/>
      <c r="F530" s="152"/>
      <c r="G530" s="152"/>
      <c r="H530" s="151"/>
      <c r="I530" s="152"/>
      <c r="J530" s="151"/>
      <c r="K530" s="151"/>
      <c r="L530" s="21" t="str">
        <f>HYPERLINK("http://kameyamarekihaku.jp/sisi/tuusiHP_next/kinsei/image/02/gi.htm?pf=2088sh056.JPG&amp;?pn=%20%E6%9C%9D%E9%AE%AE%E9%80%9A%E4%BF%A1%E4%BD%BF%E4%BA%80%E5%B1%B1%E8%97%A9%E4%B8%BB%E5%AE%88%E5%B1%B1%E5%AE%BF%E9%A6%B3%E8%B5%B0%E5%9B%B3","朝鮮通信使亀山藩守山宿馳走図（館蔵加藤家文書66-0-19）")</f>
        <v>朝鮮通信使亀山藩守山宿馳走図（館蔵加藤家文書66-0-19）</v>
      </c>
      <c r="M530" s="151"/>
      <c r="N530" s="306"/>
      <c r="O530" s="306" t="e">
        <v>#VALUE!</v>
      </c>
      <c r="P530" s="308" t="str">
        <f t="shared" si="9"/>
        <v/>
      </c>
      <c r="Q530" s="10"/>
      <c r="R530" s="348"/>
    </row>
    <row r="531" spans="1:18" s="139" customFormat="1" ht="51.75" customHeight="1" x14ac:dyDescent="0.15">
      <c r="A531" s="142" t="s">
        <v>1107</v>
      </c>
      <c r="B531" s="142">
        <v>17</v>
      </c>
      <c r="C531" s="143" t="s">
        <v>1385</v>
      </c>
      <c r="D531" s="143">
        <v>1656</v>
      </c>
      <c r="E531" s="181" t="s">
        <v>20</v>
      </c>
      <c r="F531" s="143"/>
      <c r="G531" s="143" t="s">
        <v>1386</v>
      </c>
      <c r="H531" s="142" t="s">
        <v>464</v>
      </c>
      <c r="I531" s="143" t="s">
        <v>1157</v>
      </c>
      <c r="J531" s="142" t="s">
        <v>1101</v>
      </c>
      <c r="K531" s="142" t="s">
        <v>1365</v>
      </c>
      <c r="L531" s="142"/>
      <c r="M531" s="142"/>
      <c r="N531" s="23" t="s">
        <v>1387</v>
      </c>
      <c r="O531" s="23" t="s">
        <v>1367</v>
      </c>
      <c r="P531" s="24" t="str">
        <f t="shared" si="9"/>
        <v>亀山城と宿場／江戸時代の亀山城主／石川昌勝</v>
      </c>
      <c r="Q531" s="25" t="str">
        <f>HYPERLINK("http:/kameyamarekihaku.jp/sisi/tuusiHP_next/tuusi-index.html#kinsei0203","市史通史編 近世第2章第4節")</f>
        <v>市史通史編 近世第2章第4節</v>
      </c>
      <c r="R531" s="142" t="s">
        <v>1388</v>
      </c>
    </row>
    <row r="532" spans="1:18" s="139" customFormat="1" ht="47.25" customHeight="1" x14ac:dyDescent="0.15">
      <c r="A532" s="142" t="s">
        <v>1107</v>
      </c>
      <c r="B532" s="142">
        <v>17</v>
      </c>
      <c r="C532" s="143" t="s">
        <v>1389</v>
      </c>
      <c r="D532" s="143">
        <v>1660</v>
      </c>
      <c r="E532" s="181" t="s">
        <v>20</v>
      </c>
      <c r="F532" s="143"/>
      <c r="G532" s="143" t="s">
        <v>1390</v>
      </c>
      <c r="H532" s="142" t="s">
        <v>468</v>
      </c>
      <c r="I532" s="143" t="s">
        <v>1391</v>
      </c>
      <c r="J532" s="142"/>
      <c r="K532" s="142" t="s">
        <v>1392</v>
      </c>
      <c r="L532" s="142"/>
      <c r="M532" s="142"/>
      <c r="N532" s="23"/>
      <c r="O532" s="23" t="e">
        <v>#VALUE!</v>
      </c>
      <c r="P532" s="24" t="str">
        <f t="shared" si="9"/>
        <v/>
      </c>
      <c r="Q532" s="25" t="str">
        <f>HYPERLINK("http:/kameyamarekihaku.jp/sisi/tuusiHP_next/tuusi-index.html#kinsei0502","市史通史編 近世第5章第2節第4項")</f>
        <v>市史通史編 近世第5章第2節第4項</v>
      </c>
      <c r="R532" s="142" t="s">
        <v>1393</v>
      </c>
    </row>
    <row r="533" spans="1:18" s="139" customFormat="1" ht="44.25" customHeight="1" x14ac:dyDescent="0.15">
      <c r="A533" s="120" t="s">
        <v>1107</v>
      </c>
      <c r="B533" s="120">
        <v>17</v>
      </c>
      <c r="C533" s="175" t="s">
        <v>1394</v>
      </c>
      <c r="D533" s="175">
        <v>1662</v>
      </c>
      <c r="E533" s="181" t="s">
        <v>20</v>
      </c>
      <c r="F533" s="143"/>
      <c r="G533" s="143" t="s">
        <v>1395</v>
      </c>
      <c r="H533" s="142"/>
      <c r="I533" s="143"/>
      <c r="J533" s="142"/>
      <c r="K533" s="142"/>
      <c r="L533" s="142"/>
      <c r="M533" s="142"/>
      <c r="N533" s="23"/>
      <c r="O533" s="23" t="e">
        <v>#VALUE!</v>
      </c>
      <c r="P533" s="24" t="str">
        <f t="shared" si="9"/>
        <v/>
      </c>
      <c r="Q533" s="25" t="str">
        <f>HYPERLINK("http:/kameyamarekihaku.jp/sisi/tuusiHP_next/tuusi-index.html#kinsei0502","市史通史編 近世第5章第2節第4項")</f>
        <v>市史通史編 近世第5章第2節第4項</v>
      </c>
      <c r="R533" s="142" t="s">
        <v>1396</v>
      </c>
    </row>
    <row r="534" spans="1:18" s="6" customFormat="1" ht="54.75" customHeight="1" x14ac:dyDescent="0.15">
      <c r="A534" s="120" t="s">
        <v>1107</v>
      </c>
      <c r="B534" s="120">
        <v>17</v>
      </c>
      <c r="C534" s="175" t="s">
        <v>1397</v>
      </c>
      <c r="D534" s="175">
        <v>1663</v>
      </c>
      <c r="E534" s="181" t="s">
        <v>20</v>
      </c>
      <c r="F534" s="175"/>
      <c r="G534" s="175" t="s">
        <v>1398</v>
      </c>
      <c r="H534" s="120" t="s">
        <v>199</v>
      </c>
      <c r="I534" s="175" t="s">
        <v>1399</v>
      </c>
      <c r="J534" s="196" t="s">
        <v>1400</v>
      </c>
      <c r="K534" s="120" t="s">
        <v>1401</v>
      </c>
      <c r="L534" s="120" t="s">
        <v>1402</v>
      </c>
      <c r="M534" s="120"/>
      <c r="N534" s="12"/>
      <c r="O534" s="12" t="e">
        <v>#VALUE!</v>
      </c>
      <c r="P534" s="13" t="str">
        <f t="shared" si="9"/>
        <v/>
      </c>
      <c r="Q534" s="194"/>
      <c r="R534" s="120" t="s">
        <v>1403</v>
      </c>
    </row>
    <row r="535" spans="1:18" s="139" customFormat="1" ht="31.5" customHeight="1" x14ac:dyDescent="0.15">
      <c r="A535" s="142" t="s">
        <v>1107</v>
      </c>
      <c r="B535" s="142">
        <v>17</v>
      </c>
      <c r="C535" s="143" t="s">
        <v>1404</v>
      </c>
      <c r="D535" s="143">
        <v>1664</v>
      </c>
      <c r="E535" s="181" t="s">
        <v>20</v>
      </c>
      <c r="F535" s="143"/>
      <c r="G535" s="143" t="s">
        <v>1405</v>
      </c>
      <c r="H535" s="142" t="s">
        <v>28</v>
      </c>
      <c r="I535" s="143" t="s">
        <v>1406</v>
      </c>
      <c r="J535" s="142"/>
      <c r="K535" s="142"/>
      <c r="L535" s="142" t="s">
        <v>1407</v>
      </c>
      <c r="M535" s="142"/>
      <c r="N535" s="23" t="s">
        <v>1408</v>
      </c>
      <c r="O535" s="23" t="s">
        <v>1317</v>
      </c>
      <c r="P535" s="24" t="str">
        <f t="shared" si="9"/>
        <v>日本の歴史の中の亀山／近世の亀山／農業や諸産業の発達／新田の状況</v>
      </c>
      <c r="Q535" s="25" t="str">
        <f>HYPERLINK("http:/kameyamarekihaku.jp/sisi/tuusiHP_next/tuusi-index.html#kinsei0203","市史通史編 近世第2章第4節")</f>
        <v>市史通史編 近世第2章第4節</v>
      </c>
      <c r="R535" s="142" t="s">
        <v>1409</v>
      </c>
    </row>
    <row r="536" spans="1:18" s="139" customFormat="1" ht="41.25" customHeight="1" x14ac:dyDescent="0.15">
      <c r="A536" s="142" t="s">
        <v>1107</v>
      </c>
      <c r="B536" s="142">
        <v>17</v>
      </c>
      <c r="C536" s="143" t="s">
        <v>1410</v>
      </c>
      <c r="D536" s="143">
        <v>1665</v>
      </c>
      <c r="E536" s="181" t="s">
        <v>20</v>
      </c>
      <c r="F536" s="143"/>
      <c r="G536" s="143" t="s">
        <v>1411</v>
      </c>
      <c r="H536" s="142" t="s">
        <v>28</v>
      </c>
      <c r="I536" s="143" t="s">
        <v>1412</v>
      </c>
      <c r="J536" s="142"/>
      <c r="K536" s="142"/>
      <c r="L536" s="142"/>
      <c r="M536" s="142"/>
      <c r="N536" s="12" t="s">
        <v>1413</v>
      </c>
      <c r="O536" s="12" t="s">
        <v>1317</v>
      </c>
      <c r="P536" s="13" t="str">
        <f t="shared" si="9"/>
        <v>日本の歴史の中の亀山／近世の亀山／農業や諸産業の発達／新田の状況</v>
      </c>
      <c r="Q536" s="158"/>
      <c r="R536" s="142" t="s">
        <v>1414</v>
      </c>
    </row>
    <row r="537" spans="1:18" s="139" customFormat="1" ht="26.25" customHeight="1" x14ac:dyDescent="0.15">
      <c r="A537" s="142" t="s">
        <v>1107</v>
      </c>
      <c r="B537" s="142">
        <v>17</v>
      </c>
      <c r="C537" s="143" t="s">
        <v>1415</v>
      </c>
      <c r="D537" s="143"/>
      <c r="E537" s="181" t="s">
        <v>20</v>
      </c>
      <c r="F537" s="143"/>
      <c r="G537" s="143" t="s">
        <v>1416</v>
      </c>
      <c r="H537" s="142" t="s">
        <v>28</v>
      </c>
      <c r="I537" s="143" t="s">
        <v>1417</v>
      </c>
      <c r="J537" s="142"/>
      <c r="K537" s="142"/>
      <c r="L537" s="142"/>
      <c r="M537" s="142"/>
      <c r="N537" s="12"/>
      <c r="O537" s="12" t="e">
        <v>#VALUE!</v>
      </c>
      <c r="P537" s="13" t="str">
        <f t="shared" si="9"/>
        <v/>
      </c>
      <c r="Q537" s="158"/>
      <c r="R537" s="142" t="s">
        <v>1418</v>
      </c>
    </row>
    <row r="538" spans="1:18" s="139" customFormat="1" ht="34.5" customHeight="1" x14ac:dyDescent="0.15">
      <c r="A538" s="142" t="s">
        <v>1107</v>
      </c>
      <c r="B538" s="142">
        <v>17</v>
      </c>
      <c r="C538" s="143" t="s">
        <v>1419</v>
      </c>
      <c r="D538" s="143">
        <v>1667</v>
      </c>
      <c r="E538" s="181" t="s">
        <v>20</v>
      </c>
      <c r="F538" s="143"/>
      <c r="G538" s="143" t="s">
        <v>1420</v>
      </c>
      <c r="H538" s="142"/>
      <c r="I538" s="143"/>
      <c r="J538" s="142"/>
      <c r="K538" s="142"/>
      <c r="L538" s="142"/>
      <c r="M538" s="142"/>
      <c r="N538" s="12"/>
      <c r="O538" s="12" t="e">
        <v>#VALUE!</v>
      </c>
      <c r="P538" s="13" t="str">
        <f t="shared" si="9"/>
        <v/>
      </c>
      <c r="Q538" s="158"/>
      <c r="R538" s="142" t="s">
        <v>1154</v>
      </c>
    </row>
    <row r="539" spans="1:18" s="139" customFormat="1" ht="31.5" customHeight="1" x14ac:dyDescent="0.15">
      <c r="A539" s="145" t="s">
        <v>1107</v>
      </c>
      <c r="B539" s="145">
        <v>17</v>
      </c>
      <c r="C539" s="146" t="s">
        <v>1421</v>
      </c>
      <c r="D539" s="146">
        <v>1669</v>
      </c>
      <c r="E539" s="181" t="s">
        <v>20</v>
      </c>
      <c r="F539" s="146"/>
      <c r="G539" s="345" t="s">
        <v>1422</v>
      </c>
      <c r="H539" s="145"/>
      <c r="I539" s="146"/>
      <c r="J539" s="145" t="s">
        <v>1101</v>
      </c>
      <c r="K539" s="347" t="s">
        <v>1423</v>
      </c>
      <c r="L539" s="321" t="str">
        <f>HYPERLINK("http://kameyamarekihaku.jp/sisi/tuusiHP_next/kinsei/image/02/gi.htm?pf=2080sh051.JPG&amp;?pn=%E5%BE%A1%E4%BA%A4%E4%BB%A3%E4%B9%8B%E4%B8%80%E5%B7%BB%EF%BC%88%E9%83%A8%E5%88%86%EF%BC%89"," 「寛文九年己酉五月三日　勢州亀山より城州淀江　御交代之一巻」部分")</f>
        <v xml:space="preserve"> 「寛文九年己酉五月三日　勢州亀山より城州淀江　御交代之一巻」部分</v>
      </c>
      <c r="M539" s="145"/>
      <c r="N539" s="19" t="s">
        <v>1424</v>
      </c>
      <c r="O539" s="19" t="s">
        <v>1425</v>
      </c>
      <c r="P539" s="20" t="str">
        <f t="shared" si="9"/>
        <v>亀山城と宿場／江戸時代の亀山城主／板倉重常・重冬・重治</v>
      </c>
      <c r="Q539" s="49" t="str">
        <f>HYPERLINK("http:/kameyamarekihaku.jp/sisi/tuusiHP_next/kinsei/image/02/gi.htm?pf=2079sh050.JPG&amp;?pn=%20%E5%BE%B3%E5%B7%9D%E5%AE%B6%E7%B6%B1%E9%A0%98%E7%9F%A5%E6%9C%B1%E5%8D%B0%E7%8A%B6%E5%86%99%20","徳川家綱領地朱印状写（高梁市歴史美術館所蔵）")</f>
        <v>徳川家綱領地朱印状写（高梁市歴史美術館所蔵）</v>
      </c>
      <c r="R539" s="347" t="s">
        <v>1426</v>
      </c>
    </row>
    <row r="540" spans="1:18" s="139" customFormat="1" ht="19.5" customHeight="1" x14ac:dyDescent="0.15">
      <c r="A540" s="136"/>
      <c r="B540" s="136"/>
      <c r="C540" s="137"/>
      <c r="D540" s="137"/>
      <c r="E540" s="183"/>
      <c r="F540" s="137"/>
      <c r="G540" s="346"/>
      <c r="H540" s="136"/>
      <c r="I540" s="137"/>
      <c r="J540" s="136"/>
      <c r="K540" s="332"/>
      <c r="L540" s="344"/>
      <c r="M540" s="136"/>
      <c r="N540" s="42"/>
      <c r="O540" s="19" t="e">
        <v>#VALUE!</v>
      </c>
      <c r="P540" s="20" t="str">
        <f t="shared" si="9"/>
        <v/>
      </c>
      <c r="Q540" s="27" t="str">
        <f>HYPERLINK("http:/kameyamarekihaku.jp/sisi/tuusiHP_next/tuusi-index.html#kinsei0201","市史通史編 近世第2章第1節第3項")</f>
        <v>市史通史編 近世第2章第1節第3項</v>
      </c>
      <c r="R540" s="332"/>
    </row>
    <row r="541" spans="1:18" s="139" customFormat="1" ht="33" customHeight="1" x14ac:dyDescent="0.15">
      <c r="A541" s="136"/>
      <c r="B541" s="136"/>
      <c r="C541" s="137"/>
      <c r="D541" s="137"/>
      <c r="E541" s="183"/>
      <c r="F541" s="137"/>
      <c r="G541" s="137"/>
      <c r="H541" s="136"/>
      <c r="I541" s="137"/>
      <c r="J541" s="136"/>
      <c r="K541" s="136"/>
      <c r="L541" s="49"/>
      <c r="M541" s="136"/>
      <c r="N541" s="42"/>
      <c r="O541" s="19" t="e">
        <v>#VALUE!</v>
      </c>
      <c r="P541" s="20" t="str">
        <f t="shared" si="9"/>
        <v/>
      </c>
      <c r="Q541" s="27" t="str">
        <f>HYPERLINK("http:/kameyamarekihaku.jp/sisi/RekisiHP/kinsei/jousyu.html","市史近世ページ　亀山城主のうつりかわり")</f>
        <v>市史近世ページ　亀山城主のうつりかわり</v>
      </c>
      <c r="R541" s="332"/>
    </row>
    <row r="542" spans="1:18" s="139" customFormat="1" ht="52.35" customHeight="1" x14ac:dyDescent="0.15">
      <c r="A542" s="142" t="s">
        <v>1107</v>
      </c>
      <c r="B542" s="142">
        <v>17</v>
      </c>
      <c r="C542" s="143" t="s">
        <v>1421</v>
      </c>
      <c r="D542" s="143">
        <v>1669</v>
      </c>
      <c r="E542" s="181" t="s">
        <v>20</v>
      </c>
      <c r="F542" s="143"/>
      <c r="G542" s="143" t="s">
        <v>1427</v>
      </c>
      <c r="H542" s="142" t="s">
        <v>1428</v>
      </c>
      <c r="I542" s="143" t="s">
        <v>1429</v>
      </c>
      <c r="J542" s="142"/>
      <c r="K542" s="142"/>
      <c r="L542" s="142" t="s">
        <v>1430</v>
      </c>
      <c r="M542" s="142"/>
      <c r="N542" s="12"/>
      <c r="O542" s="12" t="e">
        <v>#VALUE!</v>
      </c>
      <c r="P542" s="13" t="str">
        <f t="shared" si="9"/>
        <v/>
      </c>
      <c r="Q542" s="158"/>
      <c r="R542" s="142" t="s">
        <v>1431</v>
      </c>
    </row>
    <row r="543" spans="1:18" s="139" customFormat="1" ht="43.5" customHeight="1" x14ac:dyDescent="0.15">
      <c r="A543" s="142" t="s">
        <v>1107</v>
      </c>
      <c r="B543" s="142">
        <v>17</v>
      </c>
      <c r="C543" s="143"/>
      <c r="D543" s="143"/>
      <c r="E543" s="144" t="s">
        <v>20</v>
      </c>
      <c r="F543" s="143" t="s">
        <v>1432</v>
      </c>
      <c r="G543" s="143"/>
      <c r="H543" s="142"/>
      <c r="I543" s="143"/>
      <c r="J543" s="142"/>
      <c r="K543" s="142"/>
      <c r="L543" s="142"/>
      <c r="M543" s="142"/>
      <c r="N543" s="23" t="s">
        <v>1433</v>
      </c>
      <c r="O543" s="23" t="s">
        <v>1434</v>
      </c>
      <c r="P543" s="24" t="str">
        <f t="shared" si="9"/>
        <v>日本の歴史の中の亀山／近世の亀山／江戸幕府の成立と鎖国／身分による差別</v>
      </c>
      <c r="Q543" s="25" t="str">
        <f>HYPERLINK("http:/kameyamarekihaku.jp/sisi/tuusiHP_next/tuusi-index.html#kinsei0501","市史通史編 近世第5章")</f>
        <v>市史通史編 近世第5章</v>
      </c>
      <c r="R543" s="142" t="s">
        <v>1127</v>
      </c>
    </row>
    <row r="544" spans="1:18" s="139" customFormat="1" ht="26.25" customHeight="1" x14ac:dyDescent="0.15">
      <c r="A544" s="142" t="s">
        <v>1107</v>
      </c>
      <c r="B544" s="142">
        <v>17</v>
      </c>
      <c r="C544" s="143" t="s">
        <v>1435</v>
      </c>
      <c r="D544" s="143">
        <v>1682</v>
      </c>
      <c r="E544" s="181" t="s">
        <v>20</v>
      </c>
      <c r="F544" s="143"/>
      <c r="G544" s="161" t="s">
        <v>1436</v>
      </c>
      <c r="H544" s="142" t="s">
        <v>1336</v>
      </c>
      <c r="I544" s="143" t="s">
        <v>1437</v>
      </c>
      <c r="J544" s="142"/>
      <c r="K544" s="142"/>
      <c r="L544" s="142"/>
      <c r="M544" s="142"/>
      <c r="N544" s="12"/>
      <c r="O544" s="12" t="e">
        <v>#VALUE!</v>
      </c>
      <c r="P544" s="13" t="str">
        <f t="shared" si="9"/>
        <v/>
      </c>
      <c r="Q544" s="158"/>
      <c r="R544" s="142" t="s">
        <v>1438</v>
      </c>
    </row>
    <row r="545" spans="1:18" s="139" customFormat="1" ht="21.75" customHeight="1" x14ac:dyDescent="0.15">
      <c r="A545" s="145" t="s">
        <v>1107</v>
      </c>
      <c r="B545" s="145">
        <v>17</v>
      </c>
      <c r="C545" s="146" t="s">
        <v>1435</v>
      </c>
      <c r="D545" s="146">
        <v>1682</v>
      </c>
      <c r="E545" s="147" t="s">
        <v>59</v>
      </c>
      <c r="F545" s="146"/>
      <c r="G545" s="146" t="s">
        <v>1379</v>
      </c>
      <c r="H545" s="145"/>
      <c r="I545" s="146"/>
      <c r="J545" s="145" t="s">
        <v>1439</v>
      </c>
      <c r="K545" s="145"/>
      <c r="L545" s="115" t="s">
        <v>1381</v>
      </c>
      <c r="M545" s="71" t="str">
        <f>HYPERLINK("http:/kameyamarekihaku.jp/sisi/tuusiHP_next/kinsei/image/02/gi.htm?pf=2089sh057.JPG&amp;?pn=%20%E5%AE%88%E5%B1%B1%E5%AF%BA%EF%BC%88%E6%BB%8B%E8%B3%80%E7%9C%8C%E5%AE%88%E5%B1%B1%E5%B8%82%EF%BC%89","守山寺")</f>
        <v>守山寺</v>
      </c>
      <c r="N545" s="310" t="s">
        <v>1440</v>
      </c>
      <c r="O545" s="310" t="s">
        <v>1383</v>
      </c>
      <c r="P545" s="311" t="str">
        <f t="shared" si="9"/>
        <v>日本の歴史の中の亀山／近世の亀山／鎖国の中の海外／亀山城主と朝鮮通信使</v>
      </c>
      <c r="Q545" s="71"/>
      <c r="R545" s="347" t="s">
        <v>1441</v>
      </c>
    </row>
    <row r="546" spans="1:18" s="139" customFormat="1" ht="45" customHeight="1" x14ac:dyDescent="0.15">
      <c r="A546" s="151"/>
      <c r="B546" s="151"/>
      <c r="C546" s="152"/>
      <c r="D546" s="152"/>
      <c r="E546" s="153"/>
      <c r="F546" s="152"/>
      <c r="G546" s="152"/>
      <c r="H546" s="151"/>
      <c r="I546" s="152"/>
      <c r="J546" s="151"/>
      <c r="K546" s="151"/>
      <c r="L546" s="76" t="str">
        <f>HYPERLINK("http:/kameyamarekihaku.jp/sisi/tuusiHP_next/kinsei/image/02/gi.htm?pf=2088sh056.JPG&amp;?pn=%E6%9C%9D%E9%AE%AE%E9%80%9A%E4%BF%A1%E4%BD%BF%E4%BA%80%E5%B1%B1%E8%97%A9%E4%B8%BB%E5%AE%88%E5%B1%B1%E5%AE%BF%E9%A6%B3%E8%B5%B0%E5%9B%B3","朝鮮通信使亀山藩主守山宿馳走図（館蔵加藤家文書66-0-19）")</f>
        <v>朝鮮通信使亀山藩主守山宿馳走図（館蔵加藤家文書66-0-19）</v>
      </c>
      <c r="M546" s="102"/>
      <c r="N546" s="306"/>
      <c r="O546" s="306" t="e">
        <v>#VALUE!</v>
      </c>
      <c r="P546" s="308" t="str">
        <f t="shared" si="9"/>
        <v/>
      </c>
      <c r="Q546" s="102"/>
      <c r="R546" s="348"/>
    </row>
    <row r="547" spans="1:18" s="139" customFormat="1" ht="46.5" customHeight="1" x14ac:dyDescent="0.15">
      <c r="A547" s="145" t="s">
        <v>1107</v>
      </c>
      <c r="B547" s="145">
        <v>17</v>
      </c>
      <c r="C547" s="146" t="s">
        <v>1435</v>
      </c>
      <c r="D547" s="146">
        <v>1682</v>
      </c>
      <c r="E547" s="181" t="s">
        <v>20</v>
      </c>
      <c r="F547" s="146"/>
      <c r="G547" s="146" t="s">
        <v>1442</v>
      </c>
      <c r="H547" s="145" t="s">
        <v>199</v>
      </c>
      <c r="I547" s="146" t="s">
        <v>1443</v>
      </c>
      <c r="J547" s="145" t="s">
        <v>1444</v>
      </c>
      <c r="K547" s="145" t="s">
        <v>1445</v>
      </c>
      <c r="L547" s="16" t="str">
        <f>HYPERLINK("http://kameyamarekihaku.jp/sisi/tuusiHP_next/kinsei/image/02/gi.htm?pf=2090sh055.JPG&amp;?pn=%E3%80%8C%E4%B9%9D%E3%80%85%E4%BA%94%E9%9B%86%E3%80%8D%E5%B7%BB%E7%AC%AC%E4%BA%8C","九々五集(半田写本)")</f>
        <v>九々五集(半田写本)</v>
      </c>
      <c r="M547" s="17"/>
      <c r="N547" s="32" t="s">
        <v>1446</v>
      </c>
      <c r="O547" s="32" t="s">
        <v>1447</v>
      </c>
      <c r="P547" s="33" t="str">
        <f t="shared" si="9"/>
        <v>よりよい地域を作った人々／江戸時代の新田開発の中心となった人物</v>
      </c>
      <c r="Q547" s="17" t="str">
        <f>HYPERLINK("http:/kameyamarekihaku.jp/sisi/tuusiHP_next/tuusi-index.html#kinsei0402","市史通史編 近世第4章第2節")</f>
        <v>市史通史編 近世第4章第2節</v>
      </c>
      <c r="R547" s="145" t="s">
        <v>1448</v>
      </c>
    </row>
    <row r="548" spans="1:18" s="139" customFormat="1" ht="32.25" customHeight="1" x14ac:dyDescent="0.15">
      <c r="A548" s="136"/>
      <c r="B548" s="136"/>
      <c r="C548" s="137"/>
      <c r="D548" s="137"/>
      <c r="E548" s="183"/>
      <c r="F548" s="137"/>
      <c r="G548" s="137"/>
      <c r="H548" s="136"/>
      <c r="I548" s="137"/>
      <c r="J548" s="136"/>
      <c r="K548" s="136"/>
      <c r="L548" s="27"/>
      <c r="M548" s="21"/>
      <c r="N548" s="19" t="s">
        <v>1449</v>
      </c>
      <c r="O548" s="19" t="s">
        <v>1317</v>
      </c>
      <c r="P548" s="20" t="str">
        <f t="shared" si="9"/>
        <v>日本の歴史の中の亀山／近世の亀山／農業や諸産業の発達／新田の状況</v>
      </c>
      <c r="Q548" s="21"/>
      <c r="R548" s="136"/>
    </row>
    <row r="549" spans="1:18" s="139" customFormat="1" ht="41.25" customHeight="1" x14ac:dyDescent="0.15">
      <c r="A549" s="151"/>
      <c r="B549" s="151"/>
      <c r="C549" s="152"/>
      <c r="D549" s="152"/>
      <c r="E549" s="191"/>
      <c r="F549" s="152"/>
      <c r="G549" s="152"/>
      <c r="H549" s="151"/>
      <c r="I549" s="152"/>
      <c r="J549" s="151"/>
      <c r="K549" s="151"/>
      <c r="L549" s="18"/>
      <c r="M549" s="10"/>
      <c r="N549" s="29" t="s">
        <v>1450</v>
      </c>
      <c r="O549" s="29" t="s">
        <v>1451</v>
      </c>
      <c r="P549" s="30" t="str">
        <f t="shared" si="9"/>
        <v>日本の歴史の中の亀山／近世の亀山／都市の繁栄と元禄文化／商家の江戸屋敷</v>
      </c>
      <c r="Q549" s="10"/>
      <c r="R549" s="151"/>
    </row>
    <row r="550" spans="1:18" s="139" customFormat="1" ht="13.15" customHeight="1" x14ac:dyDescent="0.15">
      <c r="A550" s="142" t="s">
        <v>1107</v>
      </c>
      <c r="B550" s="142">
        <v>17</v>
      </c>
      <c r="C550" s="143" t="s">
        <v>1452</v>
      </c>
      <c r="D550" s="143">
        <v>1684</v>
      </c>
      <c r="E550" s="181" t="s">
        <v>20</v>
      </c>
      <c r="F550" s="143"/>
      <c r="G550" s="143" t="s">
        <v>1453</v>
      </c>
      <c r="H550" s="142" t="s">
        <v>199</v>
      </c>
      <c r="I550" s="143" t="s">
        <v>1454</v>
      </c>
      <c r="J550" s="142"/>
      <c r="K550" s="142"/>
      <c r="L550" s="142"/>
      <c r="M550" s="142"/>
      <c r="N550" s="12"/>
      <c r="O550" s="12" t="e">
        <v>#VALUE!</v>
      </c>
      <c r="P550" s="13" t="str">
        <f t="shared" si="9"/>
        <v/>
      </c>
      <c r="Q550" s="158"/>
      <c r="R550" s="142" t="s">
        <v>1455</v>
      </c>
    </row>
    <row r="551" spans="1:18" s="139" customFormat="1" ht="28.15" customHeight="1" x14ac:dyDescent="0.15">
      <c r="A551" s="142" t="s">
        <v>1107</v>
      </c>
      <c r="B551" s="142">
        <v>17</v>
      </c>
      <c r="C551" s="197" t="s">
        <v>1456</v>
      </c>
      <c r="D551" s="143">
        <v>1685</v>
      </c>
      <c r="E551" s="144" t="s">
        <v>34</v>
      </c>
      <c r="F551" s="143"/>
      <c r="G551" s="143" t="s">
        <v>1457</v>
      </c>
      <c r="H551" s="142" t="s">
        <v>199</v>
      </c>
      <c r="I551" s="143" t="s">
        <v>1458</v>
      </c>
      <c r="J551" s="82" t="str">
        <f>HYPERLINK("http://kameyamarekihaku.jp/sisi/tuusiHP_next/kochuusei/image/06/gi.htm?pf=1187sh102.JPG&amp;?pn=%E9%88%B4%E9%B9%BF%E5%B3%A0%EF%BC%88%E3%83%87%E3%82%B8%E3%82%BF%E3%83%AB%E5%85%B1%E6%9C%89%E5%9C%B0%E5%9B%B3%EF%BC%89%E3%80%80","鈴鹿峠")</f>
        <v>鈴鹿峠</v>
      </c>
      <c r="K551" s="142" t="s">
        <v>1459</v>
      </c>
      <c r="L551" s="142"/>
      <c r="M551" s="142" t="s">
        <v>1460</v>
      </c>
      <c r="N551" s="12" t="s">
        <v>1236</v>
      </c>
      <c r="O551" s="12" t="s">
        <v>1212</v>
      </c>
      <c r="P551" s="13" t="str">
        <f t="shared" si="9"/>
        <v>古典に出てくる亀山／旅／江戸時代の旅人</v>
      </c>
      <c r="Q551" s="158"/>
      <c r="R551" s="142" t="s">
        <v>1461</v>
      </c>
    </row>
    <row r="552" spans="1:18" s="139" customFormat="1" ht="13.15" customHeight="1" x14ac:dyDescent="0.15">
      <c r="A552" s="142" t="s">
        <v>1107</v>
      </c>
      <c r="B552" s="142">
        <v>17</v>
      </c>
      <c r="C552" s="198" t="s">
        <v>1462</v>
      </c>
      <c r="D552" s="143">
        <v>1686</v>
      </c>
      <c r="E552" s="181" t="s">
        <v>20</v>
      </c>
      <c r="F552" s="143"/>
      <c r="G552" s="143" t="s">
        <v>1463</v>
      </c>
      <c r="H552" s="142" t="s">
        <v>199</v>
      </c>
      <c r="I552" s="143" t="s">
        <v>1454</v>
      </c>
      <c r="J552" s="142"/>
      <c r="K552" s="142"/>
      <c r="L552" s="142"/>
      <c r="M552" s="142"/>
      <c r="N552" s="12"/>
      <c r="O552" s="12" t="e">
        <v>#VALUE!</v>
      </c>
      <c r="P552" s="13" t="str">
        <f t="shared" si="9"/>
        <v/>
      </c>
      <c r="Q552" s="158"/>
      <c r="R552" s="142" t="s">
        <v>1464</v>
      </c>
    </row>
    <row r="553" spans="1:18" s="139" customFormat="1" ht="48" customHeight="1" x14ac:dyDescent="0.15">
      <c r="A553" s="145" t="s">
        <v>1107</v>
      </c>
      <c r="B553" s="145">
        <v>17</v>
      </c>
      <c r="C553" s="146" t="s">
        <v>1465</v>
      </c>
      <c r="D553" s="146">
        <v>1688</v>
      </c>
      <c r="E553" s="181" t="s">
        <v>20</v>
      </c>
      <c r="F553" s="146"/>
      <c r="G553" s="146" t="s">
        <v>1466</v>
      </c>
      <c r="H553" s="145"/>
      <c r="I553" s="146"/>
      <c r="J553" s="145" t="s">
        <v>1101</v>
      </c>
      <c r="K553" s="145" t="s">
        <v>1467</v>
      </c>
      <c r="L553" s="199" t="s">
        <v>1468</v>
      </c>
      <c r="M553" s="145"/>
      <c r="N553" s="19" t="s">
        <v>1469</v>
      </c>
      <c r="O553" s="19" t="s">
        <v>1425</v>
      </c>
      <c r="P553" s="20" t="str">
        <f t="shared" si="9"/>
        <v>亀山城と宿場／江戸時代の亀山城主／板倉重常・重冬・重治</v>
      </c>
      <c r="Q553" s="10" t="str">
        <f>HYPERLINK("http:/kameyamarekihaku.jp/sisi/RekisiHP/kinsei/jousyu.html","市史近世ページ　亀山城主のうつりかわり")</f>
        <v>市史近世ページ　亀山城主のうつりかわり</v>
      </c>
      <c r="R553" s="160" t="s">
        <v>1470</v>
      </c>
    </row>
    <row r="554" spans="1:18" s="6" customFormat="1" ht="26.25" customHeight="1" x14ac:dyDescent="0.15">
      <c r="A554" s="120" t="s">
        <v>1107</v>
      </c>
      <c r="B554" s="120">
        <v>17</v>
      </c>
      <c r="C554" s="175" t="s">
        <v>1471</v>
      </c>
      <c r="D554" s="175">
        <v>1691</v>
      </c>
      <c r="E554" s="144" t="s">
        <v>59</v>
      </c>
      <c r="F554" s="175"/>
      <c r="G554" s="175" t="s">
        <v>1472</v>
      </c>
      <c r="H554" s="120" t="s">
        <v>1473</v>
      </c>
      <c r="I554" s="175"/>
      <c r="J554" s="120"/>
      <c r="K554" s="120" t="s">
        <v>1474</v>
      </c>
      <c r="L554" s="120"/>
      <c r="M554" s="120"/>
      <c r="N554" s="12"/>
      <c r="O554" s="12" t="e">
        <v>#VALUE!</v>
      </c>
      <c r="P554" s="13" t="str">
        <f t="shared" si="9"/>
        <v/>
      </c>
      <c r="Q554" s="192"/>
      <c r="R554" s="120" t="s">
        <v>1475</v>
      </c>
    </row>
    <row r="555" spans="1:18" s="139" customFormat="1" ht="32.25" customHeight="1" x14ac:dyDescent="0.15">
      <c r="A555" s="142" t="s">
        <v>1107</v>
      </c>
      <c r="B555" s="142">
        <v>17</v>
      </c>
      <c r="C555" s="143" t="s">
        <v>1476</v>
      </c>
      <c r="D555" s="143">
        <v>1695</v>
      </c>
      <c r="E555" s="181" t="s">
        <v>20</v>
      </c>
      <c r="F555" s="143"/>
      <c r="G555" s="143" t="s">
        <v>1477</v>
      </c>
      <c r="H555" s="142"/>
      <c r="I555" s="143"/>
      <c r="J555" s="142"/>
      <c r="K555" s="142"/>
      <c r="L555" s="11" t="s">
        <v>1021</v>
      </c>
      <c r="M555" s="142"/>
      <c r="N555" s="12"/>
      <c r="O555" s="12" t="e">
        <v>#VALUE!</v>
      </c>
      <c r="P555" s="13" t="str">
        <f t="shared" si="9"/>
        <v/>
      </c>
      <c r="Q555" s="158"/>
      <c r="R555" s="142" t="s">
        <v>1154</v>
      </c>
    </row>
    <row r="556" spans="1:18" s="139" customFormat="1" ht="66.75" customHeight="1" x14ac:dyDescent="0.15">
      <c r="A556" s="142" t="s">
        <v>1107</v>
      </c>
      <c r="B556" s="142">
        <v>17</v>
      </c>
      <c r="C556" s="143" t="s">
        <v>1476</v>
      </c>
      <c r="D556" s="143">
        <v>1695</v>
      </c>
      <c r="E556" s="181" t="s">
        <v>20</v>
      </c>
      <c r="F556" s="143"/>
      <c r="G556" s="143" t="s">
        <v>1478</v>
      </c>
      <c r="H556" s="142" t="s">
        <v>199</v>
      </c>
      <c r="I556" s="143" t="s">
        <v>1454</v>
      </c>
      <c r="J556" s="82" t="str">
        <f>HYPERLINK("http://kameyamarekihaku.jp/sisi/tuusiHP_next/kochuusei/image/10/gi.htm?pf=1310sh192.JPG&amp;?pn=%20%E5%9C%B0%E8%94%B5%E9%99%A2%EF%BC%88%E9%96%A2%E7%94%BA%E6%96%B0%E6%89%80%EF%BC%89","関地蔵院")</f>
        <v>関地蔵院</v>
      </c>
      <c r="K556" s="142" t="s">
        <v>1445</v>
      </c>
      <c r="L556" s="142"/>
      <c r="M556" s="142" t="s">
        <v>1479</v>
      </c>
      <c r="N556" s="12" t="s">
        <v>775</v>
      </c>
      <c r="O556" s="12" t="s">
        <v>776</v>
      </c>
      <c r="P556" s="13" t="str">
        <f t="shared" si="9"/>
        <v>亀山のいいとこさがし／景色のよいところや歴史を知る手掛かりとなるもの／関宿のまちなみ／新所のまちなみ／地蔵院本堂・鐘楼・愛染堂</v>
      </c>
      <c r="Q556" s="158"/>
      <c r="R556" s="142" t="s">
        <v>1480</v>
      </c>
    </row>
    <row r="557" spans="1:18" s="139" customFormat="1" ht="26.25" customHeight="1" x14ac:dyDescent="0.15">
      <c r="A557" s="142" t="s">
        <v>1107</v>
      </c>
      <c r="B557" s="142">
        <v>17</v>
      </c>
      <c r="C557" s="143"/>
      <c r="D557" s="143"/>
      <c r="E557" s="144" t="s">
        <v>34</v>
      </c>
      <c r="F557" s="143" t="s">
        <v>1481</v>
      </c>
      <c r="G557" s="143"/>
      <c r="H557" s="142"/>
      <c r="I557" s="143"/>
      <c r="J557" s="142"/>
      <c r="K557" s="142"/>
      <c r="L557" s="142"/>
      <c r="M557" s="142"/>
      <c r="N557" s="12"/>
      <c r="O557" s="12" t="e">
        <v>#VALUE!</v>
      </c>
      <c r="P557" s="13" t="str">
        <f t="shared" si="9"/>
        <v/>
      </c>
      <c r="Q557" s="158"/>
      <c r="R557" s="142"/>
    </row>
    <row r="558" spans="1:18" s="139" customFormat="1" ht="33" customHeight="1" x14ac:dyDescent="0.15">
      <c r="A558" s="145" t="s">
        <v>1107</v>
      </c>
      <c r="B558" s="145">
        <v>17</v>
      </c>
      <c r="C558" s="146" t="s">
        <v>1482</v>
      </c>
      <c r="D558" s="146">
        <v>1696</v>
      </c>
      <c r="E558" s="181" t="s">
        <v>20</v>
      </c>
      <c r="F558" s="146"/>
      <c r="G558" s="146" t="s">
        <v>1483</v>
      </c>
      <c r="H558" s="145" t="s">
        <v>28</v>
      </c>
      <c r="I558" s="146" t="s">
        <v>1484</v>
      </c>
      <c r="J558" s="145" t="s">
        <v>1485</v>
      </c>
      <c r="K558" s="145" t="s">
        <v>1486</v>
      </c>
      <c r="L558" s="15" t="s">
        <v>1487</v>
      </c>
      <c r="M558" s="145"/>
      <c r="N558" s="32" t="s">
        <v>1488</v>
      </c>
      <c r="O558" s="32" t="s">
        <v>1447</v>
      </c>
      <c r="P558" s="33" t="str">
        <f t="shared" si="9"/>
        <v>よりよい地域を作った人々／江戸時代の新田開発の中心となった人物</v>
      </c>
      <c r="Q558" s="17" t="str">
        <f>HYPERLINK("http:/kameyamarekihaku.jp/sisi/tuusiHP_next/tuusi-index.html#kinsei0402","市史通史編 近世第4章第2節第1項")</f>
        <v>市史通史編 近世第4章第2節第1項</v>
      </c>
      <c r="R558" s="145" t="s">
        <v>1489</v>
      </c>
    </row>
    <row r="559" spans="1:18" s="139" customFormat="1" ht="33" customHeight="1" x14ac:dyDescent="0.15">
      <c r="A559" s="136"/>
      <c r="B559" s="136"/>
      <c r="C559" s="137"/>
      <c r="D559" s="137"/>
      <c r="E559" s="183"/>
      <c r="F559" s="137"/>
      <c r="G559" s="137"/>
      <c r="H559" s="136"/>
      <c r="I559" s="137"/>
      <c r="J559" s="136"/>
      <c r="K559" s="136"/>
      <c r="L559" s="26"/>
      <c r="M559" s="136"/>
      <c r="N559" s="19" t="s">
        <v>1490</v>
      </c>
      <c r="O559" s="19" t="s">
        <v>1317</v>
      </c>
      <c r="P559" s="20" t="str">
        <f t="shared" si="9"/>
        <v>日本の歴史の中の亀山／近世の亀山／農業や諸産業の発達／新田の状況</v>
      </c>
      <c r="Q559" s="21"/>
      <c r="R559" s="136"/>
    </row>
    <row r="560" spans="1:18" s="139" customFormat="1" ht="43.5" customHeight="1" x14ac:dyDescent="0.15">
      <c r="A560" s="151"/>
      <c r="B560" s="151"/>
      <c r="C560" s="152"/>
      <c r="D560" s="152"/>
      <c r="E560" s="191"/>
      <c r="F560" s="152"/>
      <c r="G560" s="152"/>
      <c r="H560" s="151"/>
      <c r="I560" s="152"/>
      <c r="J560" s="151"/>
      <c r="K560" s="151"/>
      <c r="L560" s="7"/>
      <c r="M560" s="151"/>
      <c r="N560" s="29" t="s">
        <v>1491</v>
      </c>
      <c r="O560" s="29" t="s">
        <v>1451</v>
      </c>
      <c r="P560" s="30" t="str">
        <f t="shared" si="9"/>
        <v>日本の歴史の中の亀山／近世の亀山／都市の繁栄と元禄文化／商家の江戸屋敷</v>
      </c>
      <c r="Q560" s="10"/>
      <c r="R560" s="151"/>
    </row>
    <row r="561" spans="1:18" s="139" customFormat="1" ht="60" customHeight="1" x14ac:dyDescent="0.15">
      <c r="A561" s="142" t="s">
        <v>1107</v>
      </c>
      <c r="B561" s="142">
        <v>17</v>
      </c>
      <c r="C561" s="143" t="s">
        <v>1492</v>
      </c>
      <c r="D561" s="143">
        <v>1697</v>
      </c>
      <c r="E561" s="181" t="s">
        <v>20</v>
      </c>
      <c r="F561" s="143"/>
      <c r="G561" s="143" t="s">
        <v>1493</v>
      </c>
      <c r="H561" s="142" t="s">
        <v>199</v>
      </c>
      <c r="I561" s="143" t="s">
        <v>1454</v>
      </c>
      <c r="J561" s="82" t="str">
        <f>HYPERLINK("http://kameyamarekihaku.jp/sisi/tuusiHP_next/kochuusei/image/10/gi.htm?pf=1310sh192.JPG&amp;?pn=%20%E5%9C%B0%E8%94%B5%E9%99%A2%EF%BC%88%E9%96%A2%E7%94%BA%E6%96%B0%E6%89%80%EF%BC%89","関地蔵院")</f>
        <v>関地蔵院</v>
      </c>
      <c r="K561" s="142"/>
      <c r="L561" s="142"/>
      <c r="M561" s="142" t="s">
        <v>1479</v>
      </c>
      <c r="N561" s="12" t="s">
        <v>1494</v>
      </c>
      <c r="O561" s="12" t="s">
        <v>776</v>
      </c>
      <c r="P561" s="13" t="str">
        <f t="shared" si="9"/>
        <v>亀山のいいとこさがし／景色のよいところや歴史を知る手掛かりとなるもの／関宿のまちなみ／新所のまちなみ／地蔵院本堂・鐘楼・愛染堂</v>
      </c>
      <c r="Q561" s="158"/>
      <c r="R561" s="142" t="s">
        <v>1495</v>
      </c>
    </row>
    <row r="562" spans="1:18" s="139" customFormat="1" ht="14.25" customHeight="1" x14ac:dyDescent="0.15">
      <c r="A562" s="145" t="s">
        <v>1107</v>
      </c>
      <c r="B562" s="145">
        <v>17</v>
      </c>
      <c r="C562" s="146" t="s">
        <v>1496</v>
      </c>
      <c r="D562" s="146">
        <v>1700</v>
      </c>
      <c r="E562" s="200" t="s">
        <v>34</v>
      </c>
      <c r="F562" s="146"/>
      <c r="G562" s="146" t="s">
        <v>1497</v>
      </c>
      <c r="H562" s="145" t="s">
        <v>199</v>
      </c>
      <c r="I562" s="146" t="s">
        <v>1454</v>
      </c>
      <c r="J562" s="71" t="str">
        <f>HYPERLINK("http://kameyamarekihaku.jp/sisi/tuusiHP_next/kochuusei/image/10/gi.htm?pf=1310sh192.JPG&amp;?pn=%20%E5%9C%B0%E8%94%B5%E9%99%A2%EF%BC%88%E9%96%A2%E7%94%BA%E6%96%B0%E6%89%80%EF%BC%89","関地蔵院")</f>
        <v>関地蔵院</v>
      </c>
      <c r="K562" s="145"/>
      <c r="L562" s="145"/>
      <c r="M562" s="145" t="s">
        <v>1479</v>
      </c>
      <c r="N562" s="32" t="s">
        <v>1498</v>
      </c>
      <c r="O562" s="32" t="s">
        <v>774</v>
      </c>
      <c r="P562" s="33" t="str">
        <f t="shared" si="9"/>
        <v>亀山のいいとこさがし／建物</v>
      </c>
      <c r="Q562" s="17" t="str">
        <f>HYPERLINK("http:/kameyamarekihaku.jp/sisi/tuusiHP_next/tuusi-index.html#kingendai0904","市史通史編 近代・現代第9章第4節")</f>
        <v>市史通史編 近代・現代第9章第4節</v>
      </c>
      <c r="R562" s="347" t="s">
        <v>1495</v>
      </c>
    </row>
    <row r="563" spans="1:18" s="139" customFormat="1" ht="61.5" customHeight="1" x14ac:dyDescent="0.15">
      <c r="A563" s="151"/>
      <c r="B563" s="151"/>
      <c r="C563" s="152"/>
      <c r="D563" s="152"/>
      <c r="E563" s="201"/>
      <c r="F563" s="152"/>
      <c r="G563" s="152"/>
      <c r="H563" s="151"/>
      <c r="I563" s="152"/>
      <c r="J563" s="102"/>
      <c r="K563" s="151"/>
      <c r="L563" s="151"/>
      <c r="M563" s="151"/>
      <c r="N563" s="29" t="s">
        <v>1499</v>
      </c>
      <c r="O563" s="29" t="s">
        <v>776</v>
      </c>
      <c r="P563" s="30" t="str">
        <f t="shared" si="9"/>
        <v>亀山のいいとこさがし／景色のよいところや歴史を知る手掛かりとなるもの／関宿のまちなみ／新所のまちなみ／地蔵院本堂・鐘楼・愛染堂</v>
      </c>
      <c r="Q563" s="10"/>
      <c r="R563" s="348"/>
    </row>
    <row r="564" spans="1:18" s="139" customFormat="1" ht="13.15" customHeight="1" x14ac:dyDescent="0.15">
      <c r="A564" s="142" t="s">
        <v>1107</v>
      </c>
      <c r="B564" s="142">
        <v>18</v>
      </c>
      <c r="C564" s="143"/>
      <c r="D564" s="143"/>
      <c r="E564" s="144" t="s">
        <v>34</v>
      </c>
      <c r="F564" s="143" t="s">
        <v>1500</v>
      </c>
      <c r="G564" s="143"/>
      <c r="H564" s="142"/>
      <c r="I564" s="143"/>
      <c r="J564" s="142"/>
      <c r="K564" s="142"/>
      <c r="L564" s="142"/>
      <c r="M564" s="142"/>
      <c r="N564" s="12"/>
      <c r="O564" s="12" t="e">
        <v>#VALUE!</v>
      </c>
      <c r="P564" s="13" t="str">
        <f t="shared" si="9"/>
        <v/>
      </c>
      <c r="Q564" s="158"/>
      <c r="R564" s="142"/>
    </row>
    <row r="565" spans="1:18" s="139" customFormat="1" ht="30" customHeight="1" x14ac:dyDescent="0.15">
      <c r="A565" s="142" t="s">
        <v>1107</v>
      </c>
      <c r="B565" s="142">
        <v>18</v>
      </c>
      <c r="C565" s="143" t="s">
        <v>1501</v>
      </c>
      <c r="D565" s="143">
        <v>1701</v>
      </c>
      <c r="E565" s="181" t="s">
        <v>20</v>
      </c>
      <c r="F565" s="143"/>
      <c r="G565" s="143" t="s">
        <v>1502</v>
      </c>
      <c r="H565" s="142" t="s">
        <v>1503</v>
      </c>
      <c r="I565" s="143" t="s">
        <v>1504</v>
      </c>
      <c r="J565" s="142"/>
      <c r="K565" s="142"/>
      <c r="L565" s="11" t="s">
        <v>1021</v>
      </c>
      <c r="M565" s="142" t="s">
        <v>1505</v>
      </c>
      <c r="N565" s="12"/>
      <c r="O565" s="12" t="e">
        <v>#VALUE!</v>
      </c>
      <c r="P565" s="13" t="str">
        <f t="shared" si="9"/>
        <v/>
      </c>
      <c r="Q565" s="158"/>
      <c r="R565" s="142" t="s">
        <v>1506</v>
      </c>
    </row>
    <row r="566" spans="1:18" s="139" customFormat="1" ht="57.75" customHeight="1" x14ac:dyDescent="0.15">
      <c r="A566" s="145" t="s">
        <v>1107</v>
      </c>
      <c r="B566" s="145">
        <v>18</v>
      </c>
      <c r="C566" s="146" t="s">
        <v>1507</v>
      </c>
      <c r="D566" s="146">
        <v>1701</v>
      </c>
      <c r="E566" s="181" t="s">
        <v>20</v>
      </c>
      <c r="F566" s="146"/>
      <c r="G566" s="146" t="s">
        <v>1508</v>
      </c>
      <c r="H566" s="145" t="s">
        <v>464</v>
      </c>
      <c r="I566" s="146" t="s">
        <v>1509</v>
      </c>
      <c r="J566" s="145" t="s">
        <v>1510</v>
      </c>
      <c r="K566" s="145" t="s">
        <v>1511</v>
      </c>
      <c r="L566" s="160" t="s">
        <v>1512</v>
      </c>
      <c r="M566" s="71" t="str">
        <f>HYPERLINK("http://kameyamarekihaku.jp/sisi/MinzokuHP/jirei/bunrui5/data5-1/gi.htm?pf=DSC04043-1.jpg&amp;pn=%E7%9F%B3%E4%BA%95%E5%85%84%E5%BC%9F%E4%BB%87%E8%A8%8E%E3%81%A1%E3%81%AE%E7%A2%91","石井兄弟敵討碑")</f>
        <v>石井兄弟敵討碑</v>
      </c>
      <c r="N566" s="32" t="s">
        <v>1513</v>
      </c>
      <c r="O566" s="32" t="s">
        <v>1514</v>
      </c>
      <c r="P566" s="33" t="str">
        <f t="shared" si="9"/>
        <v>亀山のむかしばなし／亀山にまつわるひとびとの話／石井兄弟のかたきうち</v>
      </c>
      <c r="Q566" s="17" t="str">
        <f>HYPERLINK("http://www.kameyamarekihaku.jp/sisi/seckam3/chizukouko.php","市史考古分野(各コンテンツ)「亀山城下町を歩く」")</f>
        <v>市史考古分野(各コンテンツ)「亀山城下町を歩く」</v>
      </c>
      <c r="R566" s="347" t="s">
        <v>1515</v>
      </c>
    </row>
    <row r="567" spans="1:18" s="139" customFormat="1" ht="29.25" customHeight="1" x14ac:dyDescent="0.15">
      <c r="A567" s="136"/>
      <c r="B567" s="136"/>
      <c r="C567" s="137"/>
      <c r="D567" s="137"/>
      <c r="E567" s="183"/>
      <c r="F567" s="137"/>
      <c r="G567" s="137"/>
      <c r="H567" s="136"/>
      <c r="I567" s="137"/>
      <c r="J567" s="136"/>
      <c r="K567" s="136"/>
      <c r="L567" s="76" t="str">
        <f>HYPERLINK("http://kameyamarekihaku.jp/sisi/koukoHP/archives/kamejyoufurusya/01/01-02/gi.html?pf=KJFRUS0102-02-025.jpg&amp;pn=%E7%9F%B3%E4%BA%95%E5%85%84%E5%BC%9F%E6%95%B5%E8%A8%8E%E7%A2%91%EF%BC%88%E7%A7%BB%E8%A8%AD%E5%89%8D%EF%BC%89","画像史料：石井兄弟敵討碑（移設前）")</f>
        <v>画像史料：石井兄弟敵討碑（移設前）</v>
      </c>
      <c r="M567" s="76" t="str">
        <f>HYPERLINK("http://kameyamarekihaku.jp/sisi/koukoHP/archives/kamejyougennjyo/01/01-01/gi.html?pf=KJGNJY0101-01-077.JPG&amp;pn=%E7%85%A7%E5%85%89%E5%AF%BA","照光寺（赤堀水之助墓所）")</f>
        <v>照光寺（赤堀水之助墓所）</v>
      </c>
      <c r="N567" s="19" t="s">
        <v>1516</v>
      </c>
      <c r="O567" s="19" t="s">
        <v>1517</v>
      </c>
      <c r="P567" s="20" t="str">
        <f t="shared" si="9"/>
        <v>亀山のいいとこさがし／絵</v>
      </c>
      <c r="Q567" s="21" t="str">
        <f>HYPERLINK("http://kameyamarekihaku.jp/sisi/MinzokuHP/jirei/bunrui11/data11-2/index11_2_1.htm","市史民俗編／口頭伝承〜石井兄弟の亀山の敵討ち")</f>
        <v>市史民俗編／口頭伝承〜石井兄弟の亀山の敵討ち</v>
      </c>
      <c r="R567" s="332"/>
    </row>
    <row r="568" spans="1:18" s="139" customFormat="1" ht="34.5" customHeight="1" x14ac:dyDescent="0.15">
      <c r="A568" s="151"/>
      <c r="B568" s="151"/>
      <c r="C568" s="152"/>
      <c r="D568" s="152"/>
      <c r="E568" s="183"/>
      <c r="F568" s="152"/>
      <c r="G568" s="152"/>
      <c r="H568" s="151"/>
      <c r="I568" s="152"/>
      <c r="J568" s="151"/>
      <c r="K568" s="151"/>
      <c r="L568" s="102" t="str">
        <f>HYPERLINK("http://kameyamarekihaku.jp/20kikaku/webzuroku/pege2/30.html","忠孝仇討図絵亀山咄（浮世絵）")</f>
        <v>忠孝仇討図絵亀山咄（浮世絵）</v>
      </c>
      <c r="M568" s="151"/>
      <c r="N568" s="29"/>
      <c r="O568" s="29" t="e">
        <v>#VALUE!</v>
      </c>
      <c r="P568" s="30" t="str">
        <f t="shared" si="9"/>
        <v/>
      </c>
      <c r="Q568" s="10" t="str">
        <f>HYPERLINK("http://www.kameyamarekihaku.jp/sisi/seckam3/chizushiro.php","市史考古分野(各コンテンツ)「亀山城跡を歩く」")</f>
        <v>市史考古分野(各コンテンツ)「亀山城跡を歩く」</v>
      </c>
      <c r="R568" s="348"/>
    </row>
    <row r="569" spans="1:18" s="139" customFormat="1" ht="45.75" customHeight="1" x14ac:dyDescent="0.15">
      <c r="A569" s="145" t="s">
        <v>1107</v>
      </c>
      <c r="B569" s="145">
        <v>18</v>
      </c>
      <c r="C569" s="146" t="s">
        <v>1518</v>
      </c>
      <c r="D569" s="146">
        <v>1702</v>
      </c>
      <c r="E569" s="147" t="s">
        <v>34</v>
      </c>
      <c r="F569" s="146"/>
      <c r="G569" s="148" t="s">
        <v>1519</v>
      </c>
      <c r="H569" s="145" t="s">
        <v>122</v>
      </c>
      <c r="I569" s="146" t="s">
        <v>1520</v>
      </c>
      <c r="J569" s="145"/>
      <c r="K569" s="145" t="s">
        <v>1521</v>
      </c>
      <c r="L569" s="145" t="s">
        <v>1522</v>
      </c>
      <c r="M569" s="145"/>
      <c r="N569" s="34" t="s">
        <v>1523</v>
      </c>
      <c r="O569" s="34" t="s">
        <v>1447</v>
      </c>
      <c r="P569" s="35" t="str">
        <f t="shared" si="9"/>
        <v>よりよい地域を作った人々／江戸時代の新田開発の中心となった人物</v>
      </c>
      <c r="Q569" s="160"/>
      <c r="R569" s="145" t="s">
        <v>1524</v>
      </c>
    </row>
    <row r="570" spans="1:18" s="139" customFormat="1" ht="31.5" customHeight="1" x14ac:dyDescent="0.15">
      <c r="A570" s="136"/>
      <c r="B570" s="136"/>
      <c r="C570" s="137"/>
      <c r="D570" s="137"/>
      <c r="E570" s="138"/>
      <c r="F570" s="137"/>
      <c r="G570" s="150"/>
      <c r="H570" s="136"/>
      <c r="I570" s="137"/>
      <c r="J570" s="136"/>
      <c r="K570" s="136"/>
      <c r="L570" s="136"/>
      <c r="M570" s="136"/>
      <c r="N570" s="84" t="s">
        <v>1525</v>
      </c>
      <c r="O570" s="84" t="s">
        <v>1317</v>
      </c>
      <c r="P570" s="85" t="str">
        <f t="shared" si="9"/>
        <v>日本の歴史の中の亀山／近世の亀山／農業や諸産業の発達／新田の状況</v>
      </c>
      <c r="Q570" s="79"/>
      <c r="R570" s="136"/>
    </row>
    <row r="571" spans="1:18" s="139" customFormat="1" ht="47.25" customHeight="1" x14ac:dyDescent="0.15">
      <c r="A571" s="136"/>
      <c r="B571" s="136"/>
      <c r="C571" s="137"/>
      <c r="D571" s="137"/>
      <c r="E571" s="138"/>
      <c r="F571" s="137"/>
      <c r="G571" s="150"/>
      <c r="H571" s="136"/>
      <c r="I571" s="137"/>
      <c r="J571" s="136"/>
      <c r="K571" s="136"/>
      <c r="L571" s="136"/>
      <c r="M571" s="136"/>
      <c r="N571" s="84" t="s">
        <v>1526</v>
      </c>
      <c r="O571" s="84" t="s">
        <v>1527</v>
      </c>
      <c r="P571" s="85" t="str">
        <f t="shared" si="9"/>
        <v>日本の歴史の中の亀山／近世の亀山／都市の繁栄と元禄文化／九々五集と打田権四郎昌克</v>
      </c>
      <c r="Q571" s="79"/>
      <c r="R571" s="136"/>
    </row>
    <row r="572" spans="1:18" s="139" customFormat="1" ht="38.25" customHeight="1" x14ac:dyDescent="0.15">
      <c r="A572" s="151"/>
      <c r="B572" s="151"/>
      <c r="C572" s="152"/>
      <c r="D572" s="152"/>
      <c r="E572" s="153"/>
      <c r="F572" s="152"/>
      <c r="G572" s="155"/>
      <c r="H572" s="151"/>
      <c r="I572" s="152"/>
      <c r="J572" s="151"/>
      <c r="K572" s="151"/>
      <c r="L572" s="151"/>
      <c r="M572" s="151"/>
      <c r="N572" s="86" t="s">
        <v>1528</v>
      </c>
      <c r="O572" s="86" t="s">
        <v>1529</v>
      </c>
      <c r="P572" s="87" t="str">
        <f t="shared" si="9"/>
        <v>亀山のいいとこさがし／手紙や本／手紙や記録など／九々五集</v>
      </c>
      <c r="Q572" s="157"/>
      <c r="R572" s="151"/>
    </row>
    <row r="573" spans="1:18" s="6" customFormat="1" ht="45.75" customHeight="1" x14ac:dyDescent="0.15">
      <c r="A573" s="91" t="s">
        <v>1107</v>
      </c>
      <c r="B573" s="91">
        <v>18</v>
      </c>
      <c r="C573" s="152" t="s">
        <v>1530</v>
      </c>
      <c r="D573" s="152">
        <v>1707</v>
      </c>
      <c r="E573" s="191" t="s">
        <v>1531</v>
      </c>
      <c r="F573" s="169"/>
      <c r="G573" s="169" t="s">
        <v>1532</v>
      </c>
      <c r="H573" s="91" t="s">
        <v>1533</v>
      </c>
      <c r="I573" s="202" t="s">
        <v>1157</v>
      </c>
      <c r="J573" s="91" t="s">
        <v>1534</v>
      </c>
      <c r="K573" s="91"/>
      <c r="L573" s="203" t="s">
        <v>1535</v>
      </c>
      <c r="M573" s="91"/>
      <c r="N573" s="125" t="s">
        <v>878</v>
      </c>
      <c r="O573" s="86" t="s">
        <v>836</v>
      </c>
      <c r="P573" s="87" t="str">
        <f t="shared" si="9"/>
        <v>亀山のむかしばなし／こわいはなし／大地震の話／亀山の大地震</v>
      </c>
      <c r="Q573" s="120"/>
      <c r="R573" s="91" t="s">
        <v>1536</v>
      </c>
    </row>
    <row r="574" spans="1:18" s="139" customFormat="1" ht="48" customHeight="1" x14ac:dyDescent="0.15">
      <c r="A574" s="120" t="s">
        <v>1107</v>
      </c>
      <c r="B574" s="142">
        <v>18</v>
      </c>
      <c r="C574" s="143" t="s">
        <v>1537</v>
      </c>
      <c r="D574" s="143">
        <v>1708</v>
      </c>
      <c r="E574" s="144" t="s">
        <v>34</v>
      </c>
      <c r="F574" s="143"/>
      <c r="G574" s="143" t="s">
        <v>1538</v>
      </c>
      <c r="H574" s="142" t="s">
        <v>199</v>
      </c>
      <c r="I574" s="143" t="s">
        <v>405</v>
      </c>
      <c r="J574" s="82" t="str">
        <f>HYPERLINK("http://kameyamarekihaku.jp/sisi/tuusiHP_next/kochuusei/image/06/gi.htm?pf=1187sh102.JPG&amp;?pn=%E9%88%B4%E9%B9%BF%E5%B3%A0%EF%BC%88%E3%83%87%E3%82%B8%E3%82%BF%E3%83%AB%E5%85%B1%E6%9C%89%E5%9C%B0%E5%9B%B3%EF%BC%89%E3%80%80","鈴鹿峠")</f>
        <v>鈴鹿峠</v>
      </c>
      <c r="K574" s="142" t="s">
        <v>1539</v>
      </c>
      <c r="L574" s="142"/>
      <c r="M574" s="142"/>
      <c r="N574" s="12"/>
      <c r="O574" s="12" t="e">
        <v>#VALUE!</v>
      </c>
      <c r="P574" s="13" t="str">
        <f t="shared" si="9"/>
        <v/>
      </c>
      <c r="Q574" s="158"/>
      <c r="R574" s="142" t="s">
        <v>1540</v>
      </c>
    </row>
    <row r="575" spans="1:18" s="139" customFormat="1" ht="18" customHeight="1" x14ac:dyDescent="0.15">
      <c r="A575" s="142" t="s">
        <v>1107</v>
      </c>
      <c r="B575" s="142">
        <v>18</v>
      </c>
      <c r="C575" s="143" t="s">
        <v>1541</v>
      </c>
      <c r="D575" s="143">
        <v>1708</v>
      </c>
      <c r="E575" s="144" t="s">
        <v>20</v>
      </c>
      <c r="F575" s="143"/>
      <c r="G575" s="143" t="s">
        <v>1542</v>
      </c>
      <c r="H575" s="142" t="s">
        <v>1336</v>
      </c>
      <c r="I575" s="143"/>
      <c r="J575" s="142"/>
      <c r="K575" s="142"/>
      <c r="L575" s="142"/>
      <c r="M575" s="142"/>
      <c r="N575" s="12"/>
      <c r="O575" s="12" t="e">
        <v>#VALUE!</v>
      </c>
      <c r="P575" s="13" t="str">
        <f t="shared" si="9"/>
        <v/>
      </c>
      <c r="Q575" s="158"/>
      <c r="R575" s="142" t="s">
        <v>1506</v>
      </c>
    </row>
    <row r="576" spans="1:18" s="139" customFormat="1" ht="16.5" customHeight="1" x14ac:dyDescent="0.15">
      <c r="A576" s="142" t="s">
        <v>1107</v>
      </c>
      <c r="B576" s="142">
        <v>18</v>
      </c>
      <c r="C576" s="143" t="s">
        <v>1543</v>
      </c>
      <c r="D576" s="143">
        <v>1709</v>
      </c>
      <c r="E576" s="144" t="s">
        <v>20</v>
      </c>
      <c r="F576" s="143" t="s">
        <v>1544</v>
      </c>
      <c r="G576" s="143"/>
      <c r="H576" s="142"/>
      <c r="I576" s="143"/>
      <c r="J576" s="142"/>
      <c r="K576" s="142"/>
      <c r="L576" s="142"/>
      <c r="M576" s="142"/>
      <c r="N576" s="12"/>
      <c r="O576" s="12" t="e">
        <v>#VALUE!</v>
      </c>
      <c r="P576" s="13" t="str">
        <f t="shared" si="9"/>
        <v/>
      </c>
      <c r="Q576" s="158"/>
      <c r="R576" s="142"/>
    </row>
    <row r="577" spans="1:18" s="139" customFormat="1" ht="27.75" customHeight="1" x14ac:dyDescent="0.15">
      <c r="A577" s="145" t="s">
        <v>1107</v>
      </c>
      <c r="B577" s="145">
        <v>18</v>
      </c>
      <c r="C577" s="146" t="s">
        <v>1543</v>
      </c>
      <c r="D577" s="146">
        <v>1709</v>
      </c>
      <c r="E577" s="147" t="s">
        <v>20</v>
      </c>
      <c r="F577" s="146"/>
      <c r="G577" s="146" t="s">
        <v>1545</v>
      </c>
      <c r="H577" s="145"/>
      <c r="I577" s="146"/>
      <c r="J577" s="145" t="s">
        <v>1101</v>
      </c>
      <c r="K577" s="145" t="s">
        <v>1546</v>
      </c>
      <c r="L577" s="145"/>
      <c r="M577" s="145"/>
      <c r="N577" s="32" t="s">
        <v>1547</v>
      </c>
      <c r="O577" s="32" t="s">
        <v>1425</v>
      </c>
      <c r="P577" s="33" t="str">
        <f t="shared" si="9"/>
        <v>亀山城と宿場／江戸時代の亀山城主／板倉重常・重冬・重治</v>
      </c>
      <c r="Q577" s="17" t="str">
        <f>HYPERLINK("http:/kameyamarekihaku.jp/sisi/tuusiHP_next/tuusi-index.html#kinsei0202","市史通史編 近世第2章第2節第4項")</f>
        <v>市史通史編 近世第2章第2節第4項</v>
      </c>
      <c r="R577" s="347" t="s">
        <v>1548</v>
      </c>
    </row>
    <row r="578" spans="1:18" s="139" customFormat="1" ht="30" customHeight="1" x14ac:dyDescent="0.15">
      <c r="A578" s="151"/>
      <c r="B578" s="151"/>
      <c r="C578" s="152"/>
      <c r="D578" s="152"/>
      <c r="E578" s="153"/>
      <c r="F578" s="152"/>
      <c r="G578" s="152"/>
      <c r="H578" s="151"/>
      <c r="I578" s="152"/>
      <c r="J578" s="151"/>
      <c r="K578" s="151"/>
      <c r="L578" s="151"/>
      <c r="M578" s="151"/>
      <c r="N578" s="29"/>
      <c r="O578" s="29" t="e">
        <v>#VALUE!</v>
      </c>
      <c r="P578" s="30" t="str">
        <f t="shared" si="9"/>
        <v/>
      </c>
      <c r="Q578" s="10" t="str">
        <f>HYPERLINK("http:/kameyamarekihaku.jp/sisi/RekisiHP/kinsei/jousyu.html","市史近世ページ　亀山城主のうつりかわり")</f>
        <v>市史近世ページ　亀山城主のうつりかわり</v>
      </c>
      <c r="R578" s="348"/>
    </row>
    <row r="579" spans="1:18" s="139" customFormat="1" ht="30.75" customHeight="1" x14ac:dyDescent="0.15">
      <c r="A579" s="145" t="s">
        <v>1107</v>
      </c>
      <c r="B579" s="145">
        <v>18</v>
      </c>
      <c r="C579" s="146" t="s">
        <v>1549</v>
      </c>
      <c r="D579" s="146">
        <v>1710</v>
      </c>
      <c r="E579" s="147" t="s">
        <v>20</v>
      </c>
      <c r="F579" s="146"/>
      <c r="G579" s="146" t="s">
        <v>1550</v>
      </c>
      <c r="H579" s="145"/>
      <c r="I579" s="146"/>
      <c r="J579" s="145" t="s">
        <v>1101</v>
      </c>
      <c r="K579" s="145" t="s">
        <v>1551</v>
      </c>
      <c r="L579" s="16" t="str">
        <f>HYPERLINK("http://kameyamarekihaku.jp/22kikaku/webzuroku/gi_auto.html?pf=sozai/kameyamasouezu_l.jpg&amp;?pn=%E5%8B%A2%E5%B7%9E%E4%BA%80%E5%B1%B1%E6%83%A3%E7%B5%B5%E5%9B%B3","勢州亀山惣絵図")</f>
        <v>勢州亀山惣絵図</v>
      </c>
      <c r="M579" s="145"/>
      <c r="N579" s="32" t="s">
        <v>1552</v>
      </c>
      <c r="O579" s="32" t="s">
        <v>1553</v>
      </c>
      <c r="P579" s="33" t="str">
        <f t="shared" si="9"/>
        <v>亀山城と宿場／江戸時代の亀山城主／松平乗邑（大給）</v>
      </c>
      <c r="Q579" s="17" t="str">
        <f>HYPERLINK("http:/kameyamarekihaku.jp/sisi/tuusiHP_next/tuusi-index.html#kinsei0202","市史通史編 近世第2章第2節第4項")</f>
        <v>市史通史編 近世第2章第2節第4項</v>
      </c>
      <c r="R579" s="347" t="s">
        <v>1554</v>
      </c>
    </row>
    <row r="580" spans="1:18" s="139" customFormat="1" ht="30" customHeight="1" x14ac:dyDescent="0.15">
      <c r="A580" s="136"/>
      <c r="B580" s="136"/>
      <c r="C580" s="137"/>
      <c r="D580" s="137"/>
      <c r="E580" s="138"/>
      <c r="F580" s="137"/>
      <c r="G580" s="137"/>
      <c r="H580" s="136"/>
      <c r="I580" s="137"/>
      <c r="J580" s="136"/>
      <c r="K580" s="136"/>
      <c r="L580" s="21" t="str">
        <f>HYPERLINK("http:/kameyamarekihaku.jp/sisi/tuusiHP_next/kinsei/image/02/gi.htm?pf=2081sh052.JPG&amp;?pn=%E4%BA%80%E5%B1%B1%E6%8B%BE%E5%86%8A","画像史料：亀山拾冊(西尾市資料館寄託松明院文書)")</f>
        <v>画像史料：亀山拾冊(西尾市資料館寄託松明院文書)</v>
      </c>
      <c r="M580" s="136"/>
      <c r="N580" s="19" t="s">
        <v>1555</v>
      </c>
      <c r="O580" s="19" t="s">
        <v>1556</v>
      </c>
      <c r="P580" s="20" t="str">
        <f t="shared" si="9"/>
        <v>日本の歴史の中の亀山／近世の亀山／享保の改革と社会の変化</v>
      </c>
      <c r="Q580" s="21" t="str">
        <f>HYPERLINK("http:/kameyamarekihaku.jp/sisi/RekisiHP/kinsei/jousyu.html","市史近世ページ　亀山城主のうつりかわり")</f>
        <v>市史近世ページ　亀山城主のうつりかわり</v>
      </c>
      <c r="R580" s="332"/>
    </row>
    <row r="581" spans="1:18" s="139" customFormat="1" ht="33.75" customHeight="1" x14ac:dyDescent="0.15">
      <c r="A581" s="151"/>
      <c r="B581" s="151"/>
      <c r="C581" s="152"/>
      <c r="D581" s="152"/>
      <c r="E581" s="153"/>
      <c r="F581" s="152"/>
      <c r="G581" s="152"/>
      <c r="H581" s="151"/>
      <c r="I581" s="152"/>
      <c r="J581" s="151"/>
      <c r="K581" s="151"/>
      <c r="L581" s="204" t="str">
        <f>HYPERLINK("http://kameyamarekihaku.jp/yane_no_nai/unit_leaf/A-18.pdf","歴博貸出ユニットA－18")</f>
        <v>歴博貸出ユニットA－18</v>
      </c>
      <c r="M581" s="151"/>
      <c r="N581" s="29"/>
      <c r="O581" s="29" t="e">
        <v>#VALUE!</v>
      </c>
      <c r="P581" s="30" t="str">
        <f t="shared" ref="P581:P644" si="10">IFERROR(HYPERLINK(O581,N581),"")</f>
        <v/>
      </c>
      <c r="Q581" s="10" t="str">
        <f>HYPERLINK("http://kameyamarekihaku.jp/22kikaku/webzuroku/top.html","企画展『絵図から発見！地域の歴史』")</f>
        <v>企画展『絵図から発見！地域の歴史』</v>
      </c>
      <c r="R581" s="348"/>
    </row>
    <row r="582" spans="1:18" s="139" customFormat="1" ht="33" customHeight="1" x14ac:dyDescent="0.15">
      <c r="A582" s="88" t="s">
        <v>1107</v>
      </c>
      <c r="B582" s="88">
        <v>18</v>
      </c>
      <c r="C582" s="163" t="s">
        <v>1557</v>
      </c>
      <c r="D582" s="163">
        <v>1711</v>
      </c>
      <c r="E582" s="147" t="s">
        <v>20</v>
      </c>
      <c r="F582" s="146"/>
      <c r="G582" s="146" t="s">
        <v>1558</v>
      </c>
      <c r="H582" s="145"/>
      <c r="I582" s="146"/>
      <c r="J582" s="145"/>
      <c r="K582" s="145" t="s">
        <v>1551</v>
      </c>
      <c r="L582" s="145" t="s">
        <v>1559</v>
      </c>
      <c r="M582" s="145"/>
      <c r="N582" s="32" t="s">
        <v>1560</v>
      </c>
      <c r="O582" s="32" t="s">
        <v>1553</v>
      </c>
      <c r="P582" s="33" t="str">
        <f t="shared" si="10"/>
        <v>亀山城と宿場／江戸時代の亀山城主／松平乗邑（大給）</v>
      </c>
      <c r="Q582" s="17" t="str">
        <f>HYPERLINK("http:/kameyamarekihaku.jp/sisi/tuusiHP_next/tuusi-index.html#kinsei0202","市史通史編 近世第2章第2節第4項")</f>
        <v>市史通史編 近世第2章第2節第4項</v>
      </c>
      <c r="R582" s="145" t="s">
        <v>1561</v>
      </c>
    </row>
    <row r="583" spans="1:18" s="139" customFormat="1" ht="33" customHeight="1" x14ac:dyDescent="0.15">
      <c r="A583" s="91"/>
      <c r="B583" s="91"/>
      <c r="C583" s="169"/>
      <c r="D583" s="169"/>
      <c r="E583" s="153"/>
      <c r="F583" s="152"/>
      <c r="G583" s="152"/>
      <c r="H583" s="151"/>
      <c r="I583" s="152"/>
      <c r="J583" s="151"/>
      <c r="K583" s="151"/>
      <c r="L583" s="151"/>
      <c r="M583" s="151"/>
      <c r="N583" s="29"/>
      <c r="O583" s="29" t="e">
        <v>#VALUE!</v>
      </c>
      <c r="P583" s="30" t="str">
        <f t="shared" si="10"/>
        <v/>
      </c>
      <c r="Q583" s="10"/>
      <c r="R583" s="151"/>
    </row>
    <row r="584" spans="1:18" s="139" customFormat="1" ht="22.5" customHeight="1" x14ac:dyDescent="0.15">
      <c r="A584" s="145" t="s">
        <v>1107</v>
      </c>
      <c r="B584" s="145">
        <v>18</v>
      </c>
      <c r="C584" s="146" t="s">
        <v>1557</v>
      </c>
      <c r="D584" s="146">
        <v>1711</v>
      </c>
      <c r="E584" s="147" t="s">
        <v>59</v>
      </c>
      <c r="F584" s="146"/>
      <c r="G584" s="146" t="s">
        <v>1379</v>
      </c>
      <c r="H584" s="145"/>
      <c r="I584" s="146"/>
      <c r="J584" s="145" t="s">
        <v>1562</v>
      </c>
      <c r="K584" s="145"/>
      <c r="L584" s="145" t="s">
        <v>1563</v>
      </c>
      <c r="M584" s="145"/>
      <c r="N584" s="310" t="s">
        <v>1564</v>
      </c>
      <c r="O584" s="310" t="s">
        <v>1383</v>
      </c>
      <c r="P584" s="311" t="str">
        <f t="shared" si="10"/>
        <v>日本の歴史の中の亀山／近世の亀山／鎖国の中の海外／亀山城主と朝鮮鎖国の中の海外／亀山城主と朝鮮通信使</v>
      </c>
      <c r="Q584" s="17" t="str">
        <f>HYPERLINK("http:/kameyamarekihaku.jp/sisi/tuusiHP_next/tuusi-index.html#kinsei0203","市史通史編 近世第2章第3節")</f>
        <v>市史通史編 近世第2章第3節</v>
      </c>
      <c r="R584" s="145" t="s">
        <v>1565</v>
      </c>
    </row>
    <row r="585" spans="1:18" s="139" customFormat="1" ht="44.25" customHeight="1" x14ac:dyDescent="0.15">
      <c r="A585" s="151"/>
      <c r="B585" s="151"/>
      <c r="C585" s="152"/>
      <c r="D585" s="152"/>
      <c r="E585" s="153"/>
      <c r="F585" s="152"/>
      <c r="G585" s="152"/>
      <c r="H585" s="151"/>
      <c r="I585" s="152"/>
      <c r="J585" s="151"/>
      <c r="K585" s="151"/>
      <c r="L585" s="10" t="str">
        <f>HYPERLINK("http:/kameyamarekihaku.jp/sisi/tuusiHP_next/kinsei/image/02/gi.htm?pf=2088sh056.JPG&amp;?pn=%E6%9C%9D%E9%AE%AE%E9%80%9A%E4%BF%A1%E4%BD%BF%E4%BA%80%E5%B1%B1%E8%97%A9%E4%B8%BB%E5%AE%88%E5%B1%B1%E5%AE%BF%E9%A6%B3%E8%B5%B0%E5%9B%B3","朝鮮通信使亀山藩主守山宿馳走図（館蔵加藤家文書66-0-19）")</f>
        <v>朝鮮通信使亀山藩主守山宿馳走図（館蔵加藤家文書66-0-19）</v>
      </c>
      <c r="M585" s="151"/>
      <c r="N585" s="306"/>
      <c r="O585" s="306" t="e">
        <v>#VALUE!</v>
      </c>
      <c r="P585" s="308" t="str">
        <f t="shared" si="10"/>
        <v/>
      </c>
      <c r="Q585" s="10"/>
      <c r="R585" s="151"/>
    </row>
    <row r="586" spans="1:18" s="139" customFormat="1" ht="52.5" customHeight="1" x14ac:dyDescent="0.15">
      <c r="A586" s="120" t="s">
        <v>1107</v>
      </c>
      <c r="B586" s="120">
        <v>18</v>
      </c>
      <c r="C586" s="196" t="s">
        <v>1566</v>
      </c>
      <c r="D586" s="175">
        <v>1712</v>
      </c>
      <c r="E586" s="144" t="s">
        <v>20</v>
      </c>
      <c r="F586" s="175"/>
      <c r="G586" s="175" t="s">
        <v>1567</v>
      </c>
      <c r="H586" s="142" t="s">
        <v>464</v>
      </c>
      <c r="I586" s="175" t="s">
        <v>1275</v>
      </c>
      <c r="J586" s="142" t="s">
        <v>1101</v>
      </c>
      <c r="K586" s="120" t="s">
        <v>1568</v>
      </c>
      <c r="L586" s="135"/>
      <c r="M586" s="135" t="s">
        <v>1569</v>
      </c>
      <c r="N586" s="12" t="s">
        <v>1570</v>
      </c>
      <c r="O586" s="12" t="s">
        <v>1571</v>
      </c>
      <c r="P586" s="13" t="str">
        <f t="shared" si="10"/>
        <v>亀山城と宿場／亀山城のつくり／御殿／本丸御殿</v>
      </c>
      <c r="Q586" s="192"/>
      <c r="R586" s="142" t="s">
        <v>1572</v>
      </c>
    </row>
    <row r="587" spans="1:18" s="139" customFormat="1" ht="35.25" customHeight="1" x14ac:dyDescent="0.15">
      <c r="A587" s="142" t="s">
        <v>1107</v>
      </c>
      <c r="B587" s="142">
        <v>18</v>
      </c>
      <c r="C587" s="143" t="s">
        <v>1573</v>
      </c>
      <c r="D587" s="143">
        <v>1716</v>
      </c>
      <c r="E587" s="144" t="s">
        <v>20</v>
      </c>
      <c r="F587" s="143" t="s">
        <v>1574</v>
      </c>
      <c r="G587" s="143"/>
      <c r="H587" s="142"/>
      <c r="I587" s="143"/>
      <c r="J587" s="142"/>
      <c r="K587" s="142"/>
      <c r="L587" s="142"/>
      <c r="M587" s="142"/>
      <c r="N587" s="12" t="s">
        <v>1575</v>
      </c>
      <c r="O587" s="12" t="s">
        <v>1556</v>
      </c>
      <c r="P587" s="13" t="str">
        <f t="shared" si="10"/>
        <v>日本の歴史の中の亀山／近世の亀山／享保の改革と社会の変化</v>
      </c>
      <c r="Q587" s="158"/>
      <c r="R587" s="142"/>
    </row>
    <row r="588" spans="1:18" s="139" customFormat="1" ht="21.75" customHeight="1" x14ac:dyDescent="0.15">
      <c r="A588" s="145" t="s">
        <v>1107</v>
      </c>
      <c r="B588" s="145">
        <v>18</v>
      </c>
      <c r="C588" s="146" t="s">
        <v>1576</v>
      </c>
      <c r="D588" s="146">
        <v>1717</v>
      </c>
      <c r="E588" s="147" t="s">
        <v>20</v>
      </c>
      <c r="F588" s="146"/>
      <c r="G588" s="146" t="s">
        <v>1545</v>
      </c>
      <c r="H588" s="145"/>
      <c r="I588" s="146"/>
      <c r="J588" s="145" t="s">
        <v>1101</v>
      </c>
      <c r="K588" s="145" t="s">
        <v>1546</v>
      </c>
      <c r="L588" s="145"/>
      <c r="M588" s="145"/>
      <c r="N588" s="310" t="s">
        <v>1577</v>
      </c>
      <c r="O588" s="310" t="s">
        <v>1578</v>
      </c>
      <c r="P588" s="311" t="str">
        <f t="shared" si="10"/>
        <v>亀山城と宿場／江戸時代の亀山城主／板倉重治・勝澄</v>
      </c>
      <c r="Q588" s="17" t="str">
        <f>HYPERLINK("http:/kameyamarekihaku.jp/sisi/tuusiHP_next/tuusi-index.html#kinsei0202","市史通史編 近世第2章第2節第5項")</f>
        <v>市史通史編 近世第2章第2節第5項</v>
      </c>
      <c r="R588" s="347" t="s">
        <v>1579</v>
      </c>
    </row>
    <row r="589" spans="1:18" s="139" customFormat="1" ht="24.75" customHeight="1" x14ac:dyDescent="0.15">
      <c r="A589" s="151"/>
      <c r="B589" s="151"/>
      <c r="C589" s="152"/>
      <c r="D589" s="152"/>
      <c r="E589" s="153"/>
      <c r="F589" s="152"/>
      <c r="G589" s="152"/>
      <c r="H589" s="151"/>
      <c r="I589" s="152"/>
      <c r="J589" s="151"/>
      <c r="K589" s="151"/>
      <c r="L589" s="151"/>
      <c r="M589" s="151"/>
      <c r="N589" s="306"/>
      <c r="O589" s="306" t="e">
        <v>#VALUE!</v>
      </c>
      <c r="P589" s="308" t="str">
        <f t="shared" si="10"/>
        <v/>
      </c>
      <c r="Q589" s="10" t="str">
        <f>HYPERLINK("http:/kameyamarekihaku.jp/sisi/RekisiHP/kinsei/jousyu.html","市史近世ページ　亀山城主のうつりかわり")</f>
        <v>市史近世ページ　亀山城主のうつりかわり</v>
      </c>
      <c r="R589" s="348"/>
    </row>
    <row r="590" spans="1:18" s="139" customFormat="1" ht="21" customHeight="1" x14ac:dyDescent="0.15">
      <c r="A590" s="145" t="s">
        <v>1107</v>
      </c>
      <c r="B590" s="145">
        <v>18</v>
      </c>
      <c r="C590" s="146" t="s">
        <v>1580</v>
      </c>
      <c r="D590" s="146">
        <v>1719</v>
      </c>
      <c r="E590" s="147" t="s">
        <v>59</v>
      </c>
      <c r="F590" s="146"/>
      <c r="G590" s="146" t="s">
        <v>1379</v>
      </c>
      <c r="H590" s="145"/>
      <c r="I590" s="146"/>
      <c r="J590" s="145" t="s">
        <v>1581</v>
      </c>
      <c r="K590" s="145"/>
      <c r="L590" s="145" t="s">
        <v>1582</v>
      </c>
      <c r="M590" s="145"/>
      <c r="N590" s="310" t="s">
        <v>1583</v>
      </c>
      <c r="O590" s="310" t="s">
        <v>1383</v>
      </c>
      <c r="P590" s="311" t="str">
        <f t="shared" si="10"/>
        <v>日本の歴史の中の亀山／近世の亀山／鎖国の中の海外／亀山城主と朝鮮鎖国の中の海外／亀山城主と朝鮮通信使</v>
      </c>
      <c r="Q590" s="17" t="str">
        <f>HYPERLINK("http:/kameyamarekihaku.jp/sisi/tuusiHP_next/tuusi-index.html#kinsei0203","市史通史編 近世第2章第3節")</f>
        <v>市史通史編 近世第2章第3節</v>
      </c>
      <c r="R590" s="347" t="s">
        <v>1584</v>
      </c>
    </row>
    <row r="591" spans="1:18" s="139" customFormat="1" ht="30.75" customHeight="1" x14ac:dyDescent="0.15">
      <c r="A591" s="151"/>
      <c r="B591" s="151"/>
      <c r="C591" s="152"/>
      <c r="D591" s="152"/>
      <c r="E591" s="153"/>
      <c r="F591" s="152"/>
      <c r="G591" s="152"/>
      <c r="H591" s="151"/>
      <c r="I591" s="152"/>
      <c r="J591" s="151"/>
      <c r="K591" s="151"/>
      <c r="L591" s="10" t="str">
        <f>HYPERLINK("http:/kameyamarekihaku.jp/sisi/tuusiHP_next/kinsei/image/02/gi.htm?pf=2088sh056.JPG&amp;?pn=%E6%9C%9D%E9%AE%AE%E9%80%9A%E4%BF%A1%E4%BD%BF%E4%BA%80%E5%B1%B1%E8%97%A9%E4%B8%BB%E5%AE%88%E5%B1%B1%E5%AE%BF%E9%A6%B3%E8%B5%B0%E5%9B%B3","朝鮮通信使亀山藩主守山宿馳走図")</f>
        <v>朝鮮通信使亀山藩主守山宿馳走図</v>
      </c>
      <c r="M591" s="151"/>
      <c r="N591" s="306"/>
      <c r="O591" s="306" t="e">
        <v>#VALUE!</v>
      </c>
      <c r="P591" s="308" t="str">
        <f t="shared" si="10"/>
        <v/>
      </c>
      <c r="Q591" s="10"/>
      <c r="R591" s="348"/>
    </row>
    <row r="592" spans="1:18" s="139" customFormat="1" ht="13.15" customHeight="1" x14ac:dyDescent="0.15">
      <c r="A592" s="142" t="s">
        <v>1107</v>
      </c>
      <c r="B592" s="142">
        <v>18</v>
      </c>
      <c r="C592" s="143" t="s">
        <v>1585</v>
      </c>
      <c r="D592" s="143">
        <v>1720</v>
      </c>
      <c r="E592" s="144" t="s">
        <v>20</v>
      </c>
      <c r="F592" s="143" t="s">
        <v>1586</v>
      </c>
      <c r="G592" s="143"/>
      <c r="H592" s="142"/>
      <c r="I592" s="143"/>
      <c r="J592" s="142"/>
      <c r="K592" s="142"/>
      <c r="L592" s="142"/>
      <c r="M592" s="142"/>
      <c r="N592" s="12"/>
      <c r="O592" s="12" t="e">
        <v>#VALUE!</v>
      </c>
      <c r="P592" s="13" t="str">
        <f t="shared" si="10"/>
        <v/>
      </c>
      <c r="Q592" s="158"/>
      <c r="R592" s="142"/>
    </row>
    <row r="593" spans="1:18" s="139" customFormat="1" ht="13.15" customHeight="1" x14ac:dyDescent="0.15">
      <c r="A593" s="142" t="s">
        <v>1107</v>
      </c>
      <c r="B593" s="142">
        <v>18</v>
      </c>
      <c r="C593" s="143" t="s">
        <v>1587</v>
      </c>
      <c r="D593" s="143">
        <v>1721</v>
      </c>
      <c r="E593" s="144" t="s">
        <v>20</v>
      </c>
      <c r="F593" s="143" t="s">
        <v>1588</v>
      </c>
      <c r="G593" s="143"/>
      <c r="H593" s="142"/>
      <c r="I593" s="143"/>
      <c r="J593" s="142"/>
      <c r="K593" s="142"/>
      <c r="L593" s="142"/>
      <c r="M593" s="142"/>
      <c r="N593" s="12"/>
      <c r="O593" s="12" t="e">
        <v>#VALUE!</v>
      </c>
      <c r="P593" s="13" t="str">
        <f t="shared" si="10"/>
        <v/>
      </c>
      <c r="Q593" s="158"/>
      <c r="R593" s="142"/>
    </row>
    <row r="594" spans="1:18" s="139" customFormat="1" ht="13.15" customHeight="1" x14ac:dyDescent="0.15">
      <c r="A594" s="142" t="s">
        <v>1107</v>
      </c>
      <c r="B594" s="142">
        <v>18</v>
      </c>
      <c r="C594" s="143" t="s">
        <v>1589</v>
      </c>
      <c r="D594" s="143">
        <v>1722</v>
      </c>
      <c r="E594" s="144" t="s">
        <v>20</v>
      </c>
      <c r="F594" s="143" t="s">
        <v>1590</v>
      </c>
      <c r="G594" s="143"/>
      <c r="H594" s="142"/>
      <c r="I594" s="143"/>
      <c r="J594" s="142"/>
      <c r="K594" s="142"/>
      <c r="L594" s="142"/>
      <c r="M594" s="142"/>
      <c r="N594" s="12"/>
      <c r="O594" s="12" t="e">
        <v>#VALUE!</v>
      </c>
      <c r="P594" s="13" t="str">
        <f t="shared" si="10"/>
        <v/>
      </c>
      <c r="Q594" s="158"/>
      <c r="R594" s="142"/>
    </row>
    <row r="595" spans="1:18" s="139" customFormat="1" ht="45" customHeight="1" x14ac:dyDescent="0.15">
      <c r="A595" s="142" t="s">
        <v>1107</v>
      </c>
      <c r="B595" s="142">
        <v>18</v>
      </c>
      <c r="C595" s="143" t="s">
        <v>1591</v>
      </c>
      <c r="D595" s="143">
        <v>1724</v>
      </c>
      <c r="E595" s="144" t="s">
        <v>20</v>
      </c>
      <c r="F595" s="143"/>
      <c r="G595" s="143" t="s">
        <v>1592</v>
      </c>
      <c r="H595" s="142"/>
      <c r="I595" s="143"/>
      <c r="J595" s="142" t="s">
        <v>1101</v>
      </c>
      <c r="K595" s="142" t="s">
        <v>1593</v>
      </c>
      <c r="L595" s="142"/>
      <c r="M595" s="142"/>
      <c r="N595" s="23" t="s">
        <v>1594</v>
      </c>
      <c r="O595" s="23" t="s">
        <v>1578</v>
      </c>
      <c r="P595" s="24" t="str">
        <f t="shared" si="10"/>
        <v>亀山城と宿場／江戸時代の亀山城主／板倉重治・勝澄</v>
      </c>
      <c r="Q595" s="25" t="str">
        <f>HYPERLINK("http:/kameyamarekihaku.jp/sisi/RekisiHP/kinsei/jousyu.html","市史近世ページ　亀山城主のうつりかわり")</f>
        <v>市史近世ページ　亀山城主のうつりかわり</v>
      </c>
      <c r="R595" s="142" t="s">
        <v>1595</v>
      </c>
    </row>
    <row r="596" spans="1:18" s="139" customFormat="1" ht="13.15" customHeight="1" x14ac:dyDescent="0.15">
      <c r="A596" s="142" t="s">
        <v>1107</v>
      </c>
      <c r="B596" s="142">
        <v>18</v>
      </c>
      <c r="C596" s="143" t="s">
        <v>1596</v>
      </c>
      <c r="D596" s="143">
        <v>1732</v>
      </c>
      <c r="E596" s="144" t="s">
        <v>20</v>
      </c>
      <c r="F596" s="143" t="s">
        <v>1597</v>
      </c>
      <c r="G596" s="143"/>
      <c r="H596" s="142"/>
      <c r="I596" s="143"/>
      <c r="J596" s="142"/>
      <c r="K596" s="142"/>
      <c r="L596" s="142"/>
      <c r="M596" s="142"/>
      <c r="N596" s="12"/>
      <c r="O596" s="12" t="e">
        <v>#VALUE!</v>
      </c>
      <c r="P596" s="13" t="str">
        <f t="shared" si="10"/>
        <v/>
      </c>
      <c r="Q596" s="158"/>
      <c r="R596" s="142"/>
    </row>
    <row r="597" spans="1:18" s="139" customFormat="1" ht="78.75" customHeight="1" x14ac:dyDescent="0.15">
      <c r="A597" s="142" t="s">
        <v>1107</v>
      </c>
      <c r="B597" s="142">
        <v>18</v>
      </c>
      <c r="C597" s="143" t="s">
        <v>1598</v>
      </c>
      <c r="D597" s="143">
        <v>1734</v>
      </c>
      <c r="E597" s="205" t="s">
        <v>34</v>
      </c>
      <c r="F597" s="143"/>
      <c r="G597" s="143" t="s">
        <v>1599</v>
      </c>
      <c r="H597" s="142" t="s">
        <v>464</v>
      </c>
      <c r="I597" s="143" t="s">
        <v>1600</v>
      </c>
      <c r="J597" s="142" t="s">
        <v>1601</v>
      </c>
      <c r="K597" s="142" t="s">
        <v>1593</v>
      </c>
      <c r="L597" s="82" t="str">
        <f>HYPERLINK("http://kameyamarekihaku.jp/test/shosai.php?key3=02236","一切経（鉄眼版）（館蔵資料データベース３－１－００－６０６〜６１１）")</f>
        <v>一切経（鉄眼版）（館蔵資料データベース３－１－００－６０６〜６１１）</v>
      </c>
      <c r="M597" s="142" t="s">
        <v>1602</v>
      </c>
      <c r="N597" s="12"/>
      <c r="O597" s="12" t="e">
        <v>#VALUE!</v>
      </c>
      <c r="P597" s="13" t="str">
        <f t="shared" si="10"/>
        <v/>
      </c>
      <c r="Q597" s="158"/>
      <c r="R597" s="142" t="s">
        <v>1603</v>
      </c>
    </row>
    <row r="598" spans="1:18" s="139" customFormat="1" ht="36" customHeight="1" x14ac:dyDescent="0.15">
      <c r="A598" s="145" t="s">
        <v>1107</v>
      </c>
      <c r="B598" s="145">
        <v>18</v>
      </c>
      <c r="C598" s="146" t="s">
        <v>1604</v>
      </c>
      <c r="D598" s="146">
        <v>1735</v>
      </c>
      <c r="E598" s="147" t="s">
        <v>20</v>
      </c>
      <c r="F598" s="146"/>
      <c r="G598" s="146" t="s">
        <v>1605</v>
      </c>
      <c r="H598" s="145" t="s">
        <v>464</v>
      </c>
      <c r="I598" s="146" t="s">
        <v>1606</v>
      </c>
      <c r="J598" s="145"/>
      <c r="K598" s="145"/>
      <c r="L598" s="71" t="str">
        <f>HYPERLINK("http://kameyamarekihaku.jp/22kikaku/webzuroku/gi_auto.html?pf=sozai/kyougutimon_l.jpg&amp;?pn=%E4%BA%AC%E5%8F%A3%E9%96%80%EF%BC%88%E6%98%8E%E6%B2%BB%EF%BC%95%E5%B9%B4%E9%A0%83%E6%92%AE%E5%BD%B1%EF%BC%89","画像史料：京口門（古写真）")</f>
        <v>画像史料：京口門（古写真）</v>
      </c>
      <c r="M598" s="145"/>
      <c r="N598" s="19" t="s">
        <v>1607</v>
      </c>
      <c r="O598" s="19" t="s">
        <v>1608</v>
      </c>
      <c r="P598" s="20" t="str">
        <f t="shared" si="10"/>
        <v>亀山城と宿場／亀山城のつくり／京口門</v>
      </c>
      <c r="Q598" s="10" t="str">
        <f>HYPERLINK("http://www.kameyamarekihaku.jp/sisi/seckam3/chizukouko.php","市史考古分野(各コンテンツ)「亀山城下町を歩く」No.44")</f>
        <v>市史考古分野(各コンテンツ)「亀山城下町を歩く」No.44</v>
      </c>
      <c r="R598" s="160" t="s">
        <v>1609</v>
      </c>
    </row>
    <row r="599" spans="1:18" s="139" customFormat="1" ht="13.15" customHeight="1" x14ac:dyDescent="0.15">
      <c r="A599" s="142" t="s">
        <v>1107</v>
      </c>
      <c r="B599" s="142">
        <v>18</v>
      </c>
      <c r="C599" s="143" t="s">
        <v>1610</v>
      </c>
      <c r="D599" s="143">
        <v>1742</v>
      </c>
      <c r="E599" s="144" t="s">
        <v>20</v>
      </c>
      <c r="F599" s="143" t="s">
        <v>1611</v>
      </c>
      <c r="G599" s="143"/>
      <c r="H599" s="142"/>
      <c r="I599" s="143"/>
      <c r="J599" s="142"/>
      <c r="K599" s="142"/>
      <c r="L599" s="142"/>
      <c r="M599" s="142"/>
      <c r="N599" s="12"/>
      <c r="O599" s="12" t="e">
        <v>#VALUE!</v>
      </c>
      <c r="P599" s="13" t="str">
        <f t="shared" si="10"/>
        <v/>
      </c>
      <c r="Q599" s="158"/>
      <c r="R599" s="142"/>
    </row>
    <row r="600" spans="1:18" s="139" customFormat="1" ht="30.75" customHeight="1" x14ac:dyDescent="0.15">
      <c r="A600" s="142" t="s">
        <v>1107</v>
      </c>
      <c r="B600" s="142">
        <v>18</v>
      </c>
      <c r="C600" s="143" t="s">
        <v>1610</v>
      </c>
      <c r="D600" s="143">
        <v>1742</v>
      </c>
      <c r="E600" s="144" t="s">
        <v>34</v>
      </c>
      <c r="F600" s="143"/>
      <c r="G600" s="143" t="s">
        <v>1612</v>
      </c>
      <c r="H600" s="142" t="s">
        <v>464</v>
      </c>
      <c r="I600" s="143" t="s">
        <v>1613</v>
      </c>
      <c r="J600" s="142"/>
      <c r="K600" s="142" t="s">
        <v>1614</v>
      </c>
      <c r="L600" s="142"/>
      <c r="M600" s="142"/>
      <c r="N600" s="12"/>
      <c r="O600" s="12" t="e">
        <v>#VALUE!</v>
      </c>
      <c r="P600" s="13" t="str">
        <f t="shared" si="10"/>
        <v/>
      </c>
      <c r="Q600" s="158"/>
      <c r="R600" s="142" t="s">
        <v>1615</v>
      </c>
    </row>
    <row r="601" spans="1:18" s="139" customFormat="1" ht="44.25" customHeight="1" x14ac:dyDescent="0.15">
      <c r="A601" s="145" t="s">
        <v>1107</v>
      </c>
      <c r="B601" s="145">
        <v>18</v>
      </c>
      <c r="C601" s="146" t="s">
        <v>1616</v>
      </c>
      <c r="D601" s="146">
        <v>1744</v>
      </c>
      <c r="E601" s="147" t="s">
        <v>20</v>
      </c>
      <c r="F601" s="146"/>
      <c r="G601" s="146" t="s">
        <v>1617</v>
      </c>
      <c r="H601" s="145"/>
      <c r="I601" s="146"/>
      <c r="J601" s="145" t="s">
        <v>1534</v>
      </c>
      <c r="K601" s="145" t="s">
        <v>1618</v>
      </c>
      <c r="L601" s="21" t="str">
        <f>HYPERLINK("http:/kameyamarekihaku.jp/sisi/tuusiHP_next/kinsei/image/02/gi.htm?pf=2084sh054.JPG&amp;?pn=%E5%BE%A1%E6%89%80%E6%9B%BF%E4%B9%8B%E7%AF%80%E8%AB%8B%E5%8F%96%E6%96%B9%E8%AB%B8%E4%BA%8B%E5%BF%83%E5%BE%97%E8%A6%9A%E5%B8%B3","画像史料：御所替之節請取方諸事心得覚帳（高梁市歴史美術館所蔵）")</f>
        <v>画像史料：御所替之節請取方諸事心得覚帳（高梁市歴史美術館所蔵）</v>
      </c>
      <c r="M601" s="145"/>
      <c r="N601" s="310" t="s">
        <v>1619</v>
      </c>
      <c r="O601" s="310" t="s">
        <v>1620</v>
      </c>
      <c r="P601" s="311" t="str">
        <f t="shared" si="10"/>
        <v>亀山城と宿場／江戸時代の亀山城主／石川総慶・総堯・総純・総博・総師・総佐・総安・総惠・総禄・総脩・成之</v>
      </c>
      <c r="Q601" s="17" t="str">
        <f>HYPERLINK("http:/kameyamarekihaku.jp/sisi/tuusiHP_next/tuusi-index.html#kinsei0202","市史通史編 近世第2章第2節第6項")</f>
        <v>市史通史編 近世第2章第2節第6項</v>
      </c>
      <c r="R601" s="347" t="s">
        <v>1621</v>
      </c>
    </row>
    <row r="602" spans="1:18" s="139" customFormat="1" ht="31.5" customHeight="1" x14ac:dyDescent="0.15">
      <c r="A602" s="151"/>
      <c r="B602" s="151"/>
      <c r="C602" s="152"/>
      <c r="D602" s="152"/>
      <c r="E602" s="153"/>
      <c r="F602" s="152"/>
      <c r="G602" s="152"/>
      <c r="H602" s="151"/>
      <c r="I602" s="152"/>
      <c r="J602" s="151"/>
      <c r="K602" s="151"/>
      <c r="L602" s="151"/>
      <c r="M602" s="151"/>
      <c r="N602" s="306"/>
      <c r="O602" s="306" t="e">
        <v>#VALUE!</v>
      </c>
      <c r="P602" s="308" t="str">
        <f t="shared" si="10"/>
        <v/>
      </c>
      <c r="Q602" s="10" t="str">
        <f>HYPERLINK("http:/kameyamarekihaku.jp/sisi/RekisiHP/kinsei/jousyu.html","市史近世ページ　亀山城主のうつりかわり")</f>
        <v>市史近世ページ　亀山城主のうつりかわり</v>
      </c>
      <c r="R602" s="348"/>
    </row>
    <row r="603" spans="1:18" s="139" customFormat="1" ht="62.25" customHeight="1" x14ac:dyDescent="0.15">
      <c r="A603" s="142" t="s">
        <v>1107</v>
      </c>
      <c r="B603" s="142">
        <v>18</v>
      </c>
      <c r="C603" s="143" t="s">
        <v>1622</v>
      </c>
      <c r="D603" s="143">
        <v>1764</v>
      </c>
      <c r="E603" s="144" t="s">
        <v>20</v>
      </c>
      <c r="F603" s="143"/>
      <c r="G603" s="143" t="s">
        <v>1623</v>
      </c>
      <c r="H603" s="142"/>
      <c r="I603" s="143"/>
      <c r="J603" s="142" t="s">
        <v>1101</v>
      </c>
      <c r="K603" s="142" t="s">
        <v>1624</v>
      </c>
      <c r="L603" s="142"/>
      <c r="M603" s="142"/>
      <c r="N603" s="23" t="s">
        <v>1625</v>
      </c>
      <c r="O603" s="23" t="s">
        <v>1620</v>
      </c>
      <c r="P603" s="24" t="str">
        <f t="shared" si="10"/>
        <v>亀山城と宿場／江戸時代の亀山城主／石川総慶・総堯・総純・総博・総師・総佐・総安・総惠・総禄・総脩・成之</v>
      </c>
      <c r="Q603" s="25" t="str">
        <f>HYPERLINK("http:/kameyamarekihaku.jp/sisi/RekisiHP/kinsei/jousyu.html","市史近世ページ　亀山城主のうつりかわり")</f>
        <v>市史近世ページ　亀山城主のうつりかわり</v>
      </c>
      <c r="R603" s="142" t="s">
        <v>1626</v>
      </c>
    </row>
    <row r="604" spans="1:18" s="139" customFormat="1" ht="13.15" customHeight="1" x14ac:dyDescent="0.15">
      <c r="A604" s="142" t="s">
        <v>1107</v>
      </c>
      <c r="B604" s="142">
        <v>18</v>
      </c>
      <c r="C604" s="143"/>
      <c r="D604" s="143"/>
      <c r="E604" s="144" t="s">
        <v>20</v>
      </c>
      <c r="F604" s="143" t="s">
        <v>1627</v>
      </c>
      <c r="G604" s="143"/>
      <c r="H604" s="142"/>
      <c r="I604" s="143"/>
      <c r="J604" s="142"/>
      <c r="K604" s="142"/>
      <c r="L604" s="142"/>
      <c r="M604" s="142"/>
      <c r="N604" s="12"/>
      <c r="O604" s="12" t="e">
        <v>#VALUE!</v>
      </c>
      <c r="P604" s="13" t="str">
        <f t="shared" si="10"/>
        <v/>
      </c>
      <c r="Q604" s="158"/>
      <c r="R604" s="142"/>
    </row>
    <row r="605" spans="1:18" s="139" customFormat="1" ht="58.5" customHeight="1" x14ac:dyDescent="0.15">
      <c r="A605" s="142" t="s">
        <v>1107</v>
      </c>
      <c r="B605" s="142">
        <v>18</v>
      </c>
      <c r="C605" s="143" t="s">
        <v>1628</v>
      </c>
      <c r="D605" s="143">
        <v>1766</v>
      </c>
      <c r="E605" s="144" t="s">
        <v>20</v>
      </c>
      <c r="F605" s="143"/>
      <c r="G605" s="143" t="s">
        <v>1629</v>
      </c>
      <c r="H605" s="142" t="s">
        <v>1293</v>
      </c>
      <c r="I605" s="143"/>
      <c r="J605" s="142"/>
      <c r="K605" s="142"/>
      <c r="L605" s="142" t="s">
        <v>1630</v>
      </c>
      <c r="M605" s="142"/>
      <c r="N605" s="12"/>
      <c r="O605" s="12" t="e">
        <v>#VALUE!</v>
      </c>
      <c r="P605" s="13" t="str">
        <f t="shared" si="10"/>
        <v/>
      </c>
      <c r="Q605" s="158"/>
      <c r="R605" s="142" t="s">
        <v>1154</v>
      </c>
    </row>
    <row r="606" spans="1:18" s="139" customFormat="1" ht="17.25" customHeight="1" x14ac:dyDescent="0.15">
      <c r="A606" s="145" t="s">
        <v>1107</v>
      </c>
      <c r="B606" s="145">
        <v>18</v>
      </c>
      <c r="C606" s="146" t="s">
        <v>1631</v>
      </c>
      <c r="D606" s="146">
        <v>1768</v>
      </c>
      <c r="E606" s="147" t="s">
        <v>20</v>
      </c>
      <c r="F606" s="146"/>
      <c r="G606" s="146" t="s">
        <v>1632</v>
      </c>
      <c r="H606" s="347" t="s">
        <v>1633</v>
      </c>
      <c r="I606" s="345" t="s">
        <v>1634</v>
      </c>
      <c r="J606" s="145"/>
      <c r="K606" s="145"/>
      <c r="L606" s="347" t="s">
        <v>1635</v>
      </c>
      <c r="M606" s="145"/>
      <c r="N606" s="310" t="s">
        <v>1636</v>
      </c>
      <c r="O606" s="310" t="s">
        <v>1637</v>
      </c>
      <c r="P606" s="311" t="str">
        <f t="shared" si="10"/>
        <v>日本の歴史の中の亀山／近世の亀山／田沼の政治と寛政改革／明和五年亀山領分八十三ヵ村騒動</v>
      </c>
      <c r="Q606" s="17" t="str">
        <f>HYPERLINK("http:/kameyamarekihaku.jp/sisi/tuusiHP_next/tuusi-index.html#kinsei0402","市史通史編 近世第4章第2節")</f>
        <v>市史通史編 近世第4章第2節</v>
      </c>
      <c r="R606" s="347" t="s">
        <v>1638</v>
      </c>
    </row>
    <row r="607" spans="1:18" s="139" customFormat="1" ht="29.25" customHeight="1" x14ac:dyDescent="0.15">
      <c r="A607" s="136"/>
      <c r="B607" s="136"/>
      <c r="C607" s="137"/>
      <c r="D607" s="137"/>
      <c r="E607" s="138"/>
      <c r="F607" s="137"/>
      <c r="G607" s="137"/>
      <c r="H607" s="332"/>
      <c r="I607" s="346"/>
      <c r="J607" s="136"/>
      <c r="K607" s="136"/>
      <c r="L607" s="332"/>
      <c r="M607" s="136"/>
      <c r="N607" s="317"/>
      <c r="O607" s="317" t="e">
        <v>#VALUE!</v>
      </c>
      <c r="P607" s="318" t="str">
        <f t="shared" si="10"/>
        <v/>
      </c>
      <c r="Q607" s="206" t="str">
        <f>HYPERLINK("http://kameyamarekihaku.jp/raikan_demae/131004_higashi.html","東小6年出前授業実践例「江戸時代の亀山での人々の暮らし」")</f>
        <v>東小6年出前授業実践例「江戸時代の亀山での人々の暮らし」</v>
      </c>
      <c r="R607" s="332"/>
    </row>
    <row r="608" spans="1:18" s="139" customFormat="1" ht="16.5" customHeight="1" x14ac:dyDescent="0.15">
      <c r="A608" s="136"/>
      <c r="B608" s="136"/>
      <c r="C608" s="137"/>
      <c r="D608" s="137"/>
      <c r="E608" s="138"/>
      <c r="F608" s="137"/>
      <c r="G608" s="137"/>
      <c r="H608" s="332"/>
      <c r="I608" s="149"/>
      <c r="J608" s="136"/>
      <c r="K608" s="136"/>
      <c r="L608" s="332"/>
      <c r="M608" s="136"/>
      <c r="N608" s="19"/>
      <c r="O608" s="19" t="e">
        <v>#VALUE!</v>
      </c>
      <c r="P608" s="20" t="str">
        <f t="shared" si="10"/>
        <v/>
      </c>
      <c r="Q608" s="357" t="str">
        <f>HYPERLINK("http://kameyamarekihaku.jp/raikan_demae/130913_nishi.html","西小6年授業支援実践例「明和の一揆」")</f>
        <v>西小6年授業支援実践例「明和の一揆」</v>
      </c>
      <c r="R608" s="332"/>
    </row>
    <row r="609" spans="1:18" s="139" customFormat="1" ht="9.75" customHeight="1" x14ac:dyDescent="0.15">
      <c r="A609" s="136"/>
      <c r="B609" s="136"/>
      <c r="C609" s="137"/>
      <c r="D609" s="137"/>
      <c r="E609" s="138"/>
      <c r="F609" s="137"/>
      <c r="G609" s="137"/>
      <c r="H609" s="332"/>
      <c r="I609" s="137"/>
      <c r="J609" s="136"/>
      <c r="K609" s="79"/>
      <c r="L609" s="332"/>
      <c r="M609" s="136"/>
      <c r="N609" s="19"/>
      <c r="O609" s="19" t="e">
        <v>#VALUE!</v>
      </c>
      <c r="P609" s="20" t="str">
        <f t="shared" si="10"/>
        <v/>
      </c>
      <c r="Q609" s="357"/>
      <c r="R609" s="79"/>
    </row>
    <row r="610" spans="1:18" s="208" customFormat="1" ht="29.25" customHeight="1" x14ac:dyDescent="0.15">
      <c r="A610" s="151"/>
      <c r="B610" s="151"/>
      <c r="C610" s="152"/>
      <c r="D610" s="152"/>
      <c r="E610" s="153"/>
      <c r="F610" s="152"/>
      <c r="G610" s="152"/>
      <c r="H610" s="348"/>
      <c r="I610" s="149"/>
      <c r="J610" s="151"/>
      <c r="K610" s="157"/>
      <c r="L610" s="51" t="str">
        <f>HYPERLINK("http://kameyamarekihaku.jp/yane_no_nai/unit_leaf/A-9.pdf","歴博貸出ユニットA－９")</f>
        <v>歴博貸出ユニットA－９</v>
      </c>
      <c r="M610" s="151"/>
      <c r="N610" s="29"/>
      <c r="O610" s="29" t="e">
        <v>#VALUE!</v>
      </c>
      <c r="P610" s="30" t="str">
        <f t="shared" si="10"/>
        <v/>
      </c>
      <c r="Q610" s="207" t="str">
        <f>HYPERLINK("http://kameyamarekihaku.jp/yane_no_nai/nishi_sidouan.pdf","西小6年地域素材の教材化実践例「明和の百姓一揆」")</f>
        <v>西小6年地域素材の教材化実践例「明和の百姓一揆」</v>
      </c>
      <c r="R610" s="157"/>
    </row>
    <row r="611" spans="1:18" s="139" customFormat="1" ht="31.5" customHeight="1" x14ac:dyDescent="0.15">
      <c r="A611" s="151" t="s">
        <v>1107</v>
      </c>
      <c r="B611" s="151">
        <v>18</v>
      </c>
      <c r="C611" s="152" t="s">
        <v>1639</v>
      </c>
      <c r="D611" s="152">
        <v>1771</v>
      </c>
      <c r="E611" s="153" t="s">
        <v>20</v>
      </c>
      <c r="F611" s="152"/>
      <c r="G611" s="152" t="s">
        <v>1640</v>
      </c>
      <c r="H611" s="151" t="s">
        <v>1341</v>
      </c>
      <c r="I611" s="143"/>
      <c r="J611" s="151" t="s">
        <v>1641</v>
      </c>
      <c r="K611" s="151"/>
      <c r="L611" s="151"/>
      <c r="M611" s="151"/>
      <c r="N611" s="86"/>
      <c r="O611" s="86" t="e">
        <v>#VALUE!</v>
      </c>
      <c r="P611" s="87" t="str">
        <f t="shared" si="10"/>
        <v/>
      </c>
      <c r="Q611" s="157"/>
      <c r="R611" s="151" t="s">
        <v>1642</v>
      </c>
    </row>
    <row r="612" spans="1:18" s="139" customFormat="1" ht="103.5" customHeight="1" x14ac:dyDescent="0.15">
      <c r="A612" s="142" t="s">
        <v>1107</v>
      </c>
      <c r="B612" s="142">
        <v>18</v>
      </c>
      <c r="C612" s="143" t="s">
        <v>1643</v>
      </c>
      <c r="D612" s="143">
        <v>1771</v>
      </c>
      <c r="E612" s="144" t="s">
        <v>20</v>
      </c>
      <c r="F612" s="143"/>
      <c r="G612" s="143" t="s">
        <v>1644</v>
      </c>
      <c r="H612" s="142" t="s">
        <v>1633</v>
      </c>
      <c r="I612" s="143"/>
      <c r="J612" s="142"/>
      <c r="K612" s="142"/>
      <c r="L612" s="142"/>
      <c r="M612" s="142"/>
      <c r="N612" s="23"/>
      <c r="O612" s="23" t="e">
        <v>#VALUE!</v>
      </c>
      <c r="P612" s="24" t="str">
        <f t="shared" si="10"/>
        <v/>
      </c>
      <c r="Q612" s="25" t="str">
        <f>HYPERLINK("http:/kameyamarekihaku.jp/sisi/tuusiHP_next/tuusi-index.html#kinsei0502","市史通史編 近世第5章第2節第4項")</f>
        <v>市史通史編 近世第5章第2節第4項</v>
      </c>
      <c r="R612" s="142" t="s">
        <v>1645</v>
      </c>
    </row>
    <row r="613" spans="1:18" s="139" customFormat="1" ht="34.5" customHeight="1" x14ac:dyDescent="0.15">
      <c r="A613" s="142" t="s">
        <v>1107</v>
      </c>
      <c r="B613" s="142">
        <v>18</v>
      </c>
      <c r="C613" s="143" t="s">
        <v>1646</v>
      </c>
      <c r="D613" s="143">
        <v>1772</v>
      </c>
      <c r="E613" s="144" t="s">
        <v>20</v>
      </c>
      <c r="F613" s="143" t="s">
        <v>1647</v>
      </c>
      <c r="G613" s="143"/>
      <c r="H613" s="142"/>
      <c r="I613" s="143"/>
      <c r="J613" s="142"/>
      <c r="K613" s="142"/>
      <c r="L613" s="142"/>
      <c r="M613" s="142"/>
      <c r="N613" s="12" t="s">
        <v>1648</v>
      </c>
      <c r="O613" s="12" t="s">
        <v>1649</v>
      </c>
      <c r="P613" s="13" t="str">
        <f t="shared" si="10"/>
        <v>日本の歴史の中の亀山／近世の亀山／田沼の政治と寛政改革</v>
      </c>
      <c r="Q613" s="158"/>
      <c r="R613" s="142"/>
    </row>
    <row r="614" spans="1:18" s="139" customFormat="1" ht="90" customHeight="1" x14ac:dyDescent="0.15">
      <c r="A614" s="142" t="s">
        <v>1107</v>
      </c>
      <c r="B614" s="142">
        <v>18</v>
      </c>
      <c r="C614" s="143" t="s">
        <v>1650</v>
      </c>
      <c r="D614" s="143">
        <v>1773</v>
      </c>
      <c r="E614" s="144" t="s">
        <v>20</v>
      </c>
      <c r="F614" s="143"/>
      <c r="G614" s="143" t="s">
        <v>1651</v>
      </c>
      <c r="H614" s="142" t="s">
        <v>1633</v>
      </c>
      <c r="I614" s="143"/>
      <c r="J614" s="142"/>
      <c r="K614" s="142"/>
      <c r="L614" s="142"/>
      <c r="M614" s="142"/>
      <c r="N614" s="23"/>
      <c r="O614" s="23" t="e">
        <v>#VALUE!</v>
      </c>
      <c r="P614" s="24" t="str">
        <f t="shared" si="10"/>
        <v/>
      </c>
      <c r="Q614" s="25" t="str">
        <f>HYPERLINK("http:/kameyamarekihaku.jp/sisi/tuusiHP_next/tuusi-index.html#kinsei0502","市史通史編 近世第5章第2節第4項")</f>
        <v>市史通史編 近世第5章第2節第4項</v>
      </c>
      <c r="R614" s="142" t="s">
        <v>1652</v>
      </c>
    </row>
    <row r="615" spans="1:18" s="139" customFormat="1" ht="47.25" customHeight="1" x14ac:dyDescent="0.15">
      <c r="A615" s="142" t="s">
        <v>1107</v>
      </c>
      <c r="B615" s="142">
        <v>18</v>
      </c>
      <c r="C615" s="143" t="s">
        <v>1653</v>
      </c>
      <c r="D615" s="143">
        <v>1774</v>
      </c>
      <c r="E615" s="144" t="s">
        <v>20</v>
      </c>
      <c r="F615" s="143"/>
      <c r="G615" s="143" t="s">
        <v>1654</v>
      </c>
      <c r="H615" s="142" t="s">
        <v>464</v>
      </c>
      <c r="I615" s="143" t="s">
        <v>1157</v>
      </c>
      <c r="J615" s="209" t="s">
        <v>1655</v>
      </c>
      <c r="K615" s="142"/>
      <c r="L615" s="82" t="str">
        <f>HYPERLINK("http://kameyamarekihaku.jp/sisi/koukoHP/archives/kamejyoufurusya/01/01-02/gi.html?pf=KJFRUS0102-02-003.jpg&amp;pn=%20%E4%B8%89%E9%87%8D%E6%AB%93%E5%8F%A4%E5%86%99%E7%9C%9F","画像史料：三重櫓（古写真）")</f>
        <v>画像史料：三重櫓（古写真）</v>
      </c>
      <c r="M615" s="142" t="s">
        <v>1656</v>
      </c>
      <c r="N615" s="23" t="s">
        <v>1657</v>
      </c>
      <c r="O615" s="23" t="s">
        <v>1376</v>
      </c>
      <c r="P615" s="24" t="str">
        <f t="shared" si="10"/>
        <v>亀山城と宿場／亀山城のつくり／櫓／三重櫓</v>
      </c>
      <c r="Q615" s="25" t="str">
        <f>HYPERLINK("http://www.kameyamarekihaku.jp/sisi/seckam3/chizushiro.php","市史考古分野(各コンテンツ)「亀山城跡を歩く」No.3")</f>
        <v>市史考古分野(各コンテンツ)「亀山城跡を歩く」No.3</v>
      </c>
      <c r="R615" s="142" t="s">
        <v>1658</v>
      </c>
    </row>
    <row r="616" spans="1:18" s="139" customFormat="1" ht="64.5" customHeight="1" x14ac:dyDescent="0.15">
      <c r="A616" s="142" t="s">
        <v>1107</v>
      </c>
      <c r="B616" s="142">
        <v>18</v>
      </c>
      <c r="C616" s="143" t="s">
        <v>1659</v>
      </c>
      <c r="D616" s="143">
        <v>1776</v>
      </c>
      <c r="E616" s="144" t="s">
        <v>20</v>
      </c>
      <c r="F616" s="143"/>
      <c r="G616" s="143" t="s">
        <v>1660</v>
      </c>
      <c r="H616" s="142"/>
      <c r="I616" s="143"/>
      <c r="J616" s="142" t="s">
        <v>1101</v>
      </c>
      <c r="K616" s="142" t="s">
        <v>1661</v>
      </c>
      <c r="L616" s="142"/>
      <c r="M616" s="142"/>
      <c r="N616" s="23" t="s">
        <v>1625</v>
      </c>
      <c r="O616" s="23" t="s">
        <v>1620</v>
      </c>
      <c r="P616" s="24" t="str">
        <f t="shared" si="10"/>
        <v>亀山城と宿場／江戸時代の亀山城主／石川総慶・総堯・総純・総博・総師・総佐・総安・総惠・総禄・総脩・成之</v>
      </c>
      <c r="Q616" s="25" t="str">
        <f>HYPERLINK("http:/kameyamarekihaku.jp/sisi/RekisiHP/kinsei/jousyu.html","市史近世ページ　亀山城主のうつりかわり")</f>
        <v>市史近世ページ　亀山城主のうつりかわり</v>
      </c>
      <c r="R616" s="142" t="s">
        <v>1595</v>
      </c>
    </row>
    <row r="617" spans="1:18" s="139" customFormat="1" ht="33.75" customHeight="1" x14ac:dyDescent="0.15">
      <c r="A617" s="142" t="s">
        <v>1107</v>
      </c>
      <c r="B617" s="142">
        <v>18</v>
      </c>
      <c r="C617" s="143" t="s">
        <v>1662</v>
      </c>
      <c r="D617" s="143">
        <v>1780</v>
      </c>
      <c r="E617" s="144" t="s">
        <v>20</v>
      </c>
      <c r="F617" s="143"/>
      <c r="G617" s="143" t="s">
        <v>1663</v>
      </c>
      <c r="H617" s="142" t="s">
        <v>1664</v>
      </c>
      <c r="I617" s="143" t="s">
        <v>1665</v>
      </c>
      <c r="J617" s="142"/>
      <c r="K617" s="142" t="s">
        <v>1666</v>
      </c>
      <c r="L617" s="142"/>
      <c r="M617" s="142" t="s">
        <v>478</v>
      </c>
      <c r="N617" s="12" t="s">
        <v>1667</v>
      </c>
      <c r="O617" s="12" t="s">
        <v>365</v>
      </c>
      <c r="P617" s="13" t="str">
        <f t="shared" si="10"/>
        <v>亀山のいいとこさがし／景色のよいところや歴史を知る手掛かりとなるもの／川</v>
      </c>
      <c r="Q617" s="158"/>
      <c r="R617" s="142" t="s">
        <v>1668</v>
      </c>
    </row>
    <row r="618" spans="1:18" s="139" customFormat="1" ht="13.15" customHeight="1" x14ac:dyDescent="0.15">
      <c r="A618" s="142" t="s">
        <v>1107</v>
      </c>
      <c r="B618" s="142">
        <v>18</v>
      </c>
      <c r="C618" s="143" t="s">
        <v>1669</v>
      </c>
      <c r="D618" s="143">
        <v>1782</v>
      </c>
      <c r="E618" s="144" t="s">
        <v>20</v>
      </c>
      <c r="F618" s="143" t="s">
        <v>1670</v>
      </c>
      <c r="G618" s="143"/>
      <c r="H618" s="142"/>
      <c r="I618" s="143"/>
      <c r="J618" s="142"/>
      <c r="K618" s="142"/>
      <c r="L618" s="142"/>
      <c r="M618" s="142"/>
      <c r="N618" s="12"/>
      <c r="O618" s="12" t="e">
        <v>#VALUE!</v>
      </c>
      <c r="P618" s="13" t="str">
        <f t="shared" si="10"/>
        <v/>
      </c>
      <c r="Q618" s="158"/>
      <c r="R618" s="142"/>
    </row>
    <row r="619" spans="1:18" s="139" customFormat="1" ht="58.5" customHeight="1" x14ac:dyDescent="0.15">
      <c r="A619" s="142" t="s">
        <v>1107</v>
      </c>
      <c r="B619" s="142">
        <v>18</v>
      </c>
      <c r="C619" s="143" t="s">
        <v>1669</v>
      </c>
      <c r="D619" s="143">
        <v>1782</v>
      </c>
      <c r="E619" s="144" t="s">
        <v>20</v>
      </c>
      <c r="F619" s="143"/>
      <c r="G619" s="143" t="s">
        <v>1651</v>
      </c>
      <c r="H619" s="142" t="s">
        <v>1633</v>
      </c>
      <c r="I619" s="143"/>
      <c r="J619" s="142"/>
      <c r="K619" s="142"/>
      <c r="L619" s="142"/>
      <c r="M619" s="142"/>
      <c r="N619" s="23"/>
      <c r="O619" s="23" t="e">
        <v>#VALUE!</v>
      </c>
      <c r="P619" s="24" t="str">
        <f t="shared" si="10"/>
        <v/>
      </c>
      <c r="Q619" s="25" t="str">
        <f>HYPERLINK("http:/kameyamarekihaku.jp/sisi/tuusiHP_next/tuusi-index.html#kinsei0502","市史通史編 近世第5章第2節第4項")</f>
        <v>市史通史編 近世第5章第2節第4項</v>
      </c>
      <c r="R619" s="142" t="s">
        <v>1671</v>
      </c>
    </row>
    <row r="620" spans="1:18" s="139" customFormat="1" ht="33.75" customHeight="1" x14ac:dyDescent="0.15">
      <c r="A620" s="145" t="s">
        <v>1107</v>
      </c>
      <c r="B620" s="145">
        <v>18</v>
      </c>
      <c r="C620" s="146" t="s">
        <v>1672</v>
      </c>
      <c r="D620" s="146">
        <v>1782</v>
      </c>
      <c r="E620" s="147" t="s">
        <v>34</v>
      </c>
      <c r="F620" s="146"/>
      <c r="G620" s="146" t="s">
        <v>1673</v>
      </c>
      <c r="H620" s="145" t="s">
        <v>468</v>
      </c>
      <c r="I620" s="146" t="s">
        <v>1674</v>
      </c>
      <c r="J620" s="145"/>
      <c r="K620" s="145" t="s">
        <v>1675</v>
      </c>
      <c r="L620" s="145"/>
      <c r="M620" s="71" t="str">
        <f>HYPERLINK("http://kameyamarekihaku.jp/sisi/koukoHP/archives/kamejyougennjyo/01/01-01/gi.html?pf=KJGNJY0101-01-051.JPG&amp;pn=%E9%A3%AF%E6%B2%BC%E6%85%BE%E6%96%8E%E7%94%9F%E5%AE%B6%E8%B7%A1","飯沼慾斎生家跡標柱")</f>
        <v>飯沼慾斎生家跡標柱</v>
      </c>
      <c r="N620" s="32"/>
      <c r="O620" s="32" t="e">
        <v>#VALUE!</v>
      </c>
      <c r="P620" s="33" t="str">
        <f t="shared" si="10"/>
        <v/>
      </c>
      <c r="Q620" s="17" t="str">
        <f>HYPERLINK("http:/kameyamarekihaku.jp/sisi/tuusiHP_next/tuusi-index.html#kinsei0602","市史通史編 近世第6章第2節第4項")</f>
        <v>市史通史編 近世第6章第2節第4項</v>
      </c>
      <c r="R620" s="347" t="s">
        <v>1676</v>
      </c>
    </row>
    <row r="621" spans="1:18" s="139" customFormat="1" ht="36" customHeight="1" x14ac:dyDescent="0.15">
      <c r="A621" s="151"/>
      <c r="B621" s="151"/>
      <c r="C621" s="152"/>
      <c r="D621" s="152"/>
      <c r="E621" s="153"/>
      <c r="F621" s="152"/>
      <c r="G621" s="152"/>
      <c r="H621" s="151"/>
      <c r="I621" s="152"/>
      <c r="J621" s="151"/>
      <c r="K621" s="151"/>
      <c r="L621" s="151"/>
      <c r="M621" s="102"/>
      <c r="N621" s="29"/>
      <c r="O621" s="29" t="e">
        <v>#VALUE!</v>
      </c>
      <c r="P621" s="30" t="str">
        <f t="shared" si="10"/>
        <v/>
      </c>
      <c r="Q621" s="10" t="str">
        <f>HYPERLINK("http://www.kameyamarekihaku.jp/sisi/seckam3/chizukouko.php","市史考古分野(各コンテンツ)「亀山城下町を歩く」No.41")</f>
        <v>市史考古分野(各コンテンツ)「亀山城下町を歩く」No.41</v>
      </c>
      <c r="R621" s="348"/>
    </row>
    <row r="622" spans="1:18" s="6" customFormat="1" ht="36" customHeight="1" x14ac:dyDescent="0.15">
      <c r="A622" s="88" t="s">
        <v>1107</v>
      </c>
      <c r="B622" s="88">
        <v>18</v>
      </c>
      <c r="C622" s="163" t="s">
        <v>1677</v>
      </c>
      <c r="D622" s="163">
        <v>1783</v>
      </c>
      <c r="E622" s="147" t="s">
        <v>20</v>
      </c>
      <c r="F622" s="163"/>
      <c r="G622" s="359" t="s">
        <v>1678</v>
      </c>
      <c r="H622" s="88" t="s">
        <v>199</v>
      </c>
      <c r="I622" s="163" t="s">
        <v>1679</v>
      </c>
      <c r="J622" s="88" t="s">
        <v>1680</v>
      </c>
      <c r="K622" s="88" t="s">
        <v>1681</v>
      </c>
      <c r="L622" s="88"/>
      <c r="M622" s="88" t="s">
        <v>1682</v>
      </c>
      <c r="N622" s="32" t="s">
        <v>1683</v>
      </c>
      <c r="O622" s="32" t="s">
        <v>1684</v>
      </c>
      <c r="P622" s="33" t="str">
        <f t="shared" si="10"/>
        <v>亀山城と宿場／亀山城のつくり／門／大手門</v>
      </c>
      <c r="Q622" s="17" t="str">
        <f>HYPERLINK("http://kameyamarekihaku.jp/sisi/MinzokuHP/jirei/bunrui11/data11-2/index11_2_1.htm","市史民俗編／口頭伝承〜関の小万")</f>
        <v>市史民俗編／口頭伝承〜関の小万</v>
      </c>
      <c r="R622" s="351" t="s">
        <v>1685</v>
      </c>
    </row>
    <row r="623" spans="1:18" s="6" customFormat="1" ht="53.25" customHeight="1" x14ac:dyDescent="0.15">
      <c r="A623" s="91"/>
      <c r="B623" s="91"/>
      <c r="C623" s="169"/>
      <c r="D623" s="169"/>
      <c r="E623" s="153"/>
      <c r="F623" s="169"/>
      <c r="G623" s="360"/>
      <c r="H623" s="91" t="s">
        <v>1686</v>
      </c>
      <c r="I623" s="202" t="s">
        <v>1687</v>
      </c>
      <c r="J623" s="91" t="s">
        <v>1688</v>
      </c>
      <c r="K623" s="91"/>
      <c r="L623" s="91"/>
      <c r="M623" s="91"/>
      <c r="N623" s="29" t="s">
        <v>1689</v>
      </c>
      <c r="O623" s="29" t="s">
        <v>1690</v>
      </c>
      <c r="P623" s="30" t="str">
        <f t="shared" si="10"/>
        <v>亀山のむかしばなし／亀山にまつわるひとびとの話／関の小万</v>
      </c>
      <c r="Q623" s="172"/>
      <c r="R623" s="355"/>
    </row>
    <row r="624" spans="1:18" s="139" customFormat="1" ht="18" customHeight="1" x14ac:dyDescent="0.15">
      <c r="A624" s="145" t="s">
        <v>1107</v>
      </c>
      <c r="B624" s="145">
        <v>18</v>
      </c>
      <c r="C624" s="146" t="s">
        <v>1691</v>
      </c>
      <c r="D624" s="146">
        <v>1785</v>
      </c>
      <c r="E624" s="147" t="s">
        <v>20</v>
      </c>
      <c r="F624" s="146"/>
      <c r="G624" s="345" t="s">
        <v>1692</v>
      </c>
      <c r="H624" s="145" t="s">
        <v>468</v>
      </c>
      <c r="I624" s="146" t="s">
        <v>1693</v>
      </c>
      <c r="J624" s="145" t="s">
        <v>1694</v>
      </c>
      <c r="K624" s="145"/>
      <c r="L624" s="361" t="s">
        <v>1695</v>
      </c>
      <c r="M624" s="145"/>
      <c r="N624" s="310" t="s">
        <v>1696</v>
      </c>
      <c r="O624" s="310" t="s">
        <v>1697</v>
      </c>
      <c r="P624" s="311" t="str">
        <f t="shared" si="10"/>
        <v>日本の歴史の中の亀山／近世の亀山／新しい学問と化政文化／藩校明倫舎</v>
      </c>
      <c r="Q624" s="17" t="str">
        <f>HYPERLINK("http:/kameyamarekihaku.jp/sisi/tuusiHP_next/tuusi-index.html#kinsei0602","市史通史編 近世第6章第2節")</f>
        <v>市史通史編 近世第6章第2節</v>
      </c>
      <c r="R624" s="347" t="s">
        <v>1698</v>
      </c>
    </row>
    <row r="625" spans="1:18" s="139" customFormat="1" ht="30.75" customHeight="1" x14ac:dyDescent="0.15">
      <c r="A625" s="136"/>
      <c r="B625" s="136"/>
      <c r="C625" s="137"/>
      <c r="D625" s="137"/>
      <c r="E625" s="138"/>
      <c r="F625" s="137"/>
      <c r="G625" s="346"/>
      <c r="H625" s="136"/>
      <c r="I625" s="137"/>
      <c r="J625" s="76"/>
      <c r="K625" s="136"/>
      <c r="L625" s="331"/>
      <c r="M625" s="136"/>
      <c r="N625" s="317"/>
      <c r="O625" s="317" t="e">
        <v>#VALUE!</v>
      </c>
      <c r="P625" s="318" t="str">
        <f t="shared" si="10"/>
        <v/>
      </c>
      <c r="Q625" s="76" t="str">
        <f>HYPERLINK("http:/kameyamarekihaku.jp/kako-tenji/4.html","第４回　テーマ展示 蔵書印から探る藩校　明倫舎の軌跡")</f>
        <v>第４回　テーマ展示 蔵書印から探る藩校　明倫舎の軌跡</v>
      </c>
      <c r="R625" s="332"/>
    </row>
    <row r="626" spans="1:18" s="139" customFormat="1" ht="27.75" customHeight="1" x14ac:dyDescent="0.15">
      <c r="A626" s="151"/>
      <c r="B626" s="151"/>
      <c r="C626" s="152"/>
      <c r="D626" s="152"/>
      <c r="E626" s="153"/>
      <c r="F626" s="152"/>
      <c r="G626" s="154"/>
      <c r="H626" s="151"/>
      <c r="I626" s="152"/>
      <c r="J626" s="102"/>
      <c r="K626" s="151"/>
      <c r="L626" s="151"/>
      <c r="M626" s="151"/>
      <c r="N626" s="29" t="s">
        <v>1699</v>
      </c>
      <c r="O626" s="29" t="s">
        <v>1700</v>
      </c>
      <c r="P626" s="30" t="str">
        <f t="shared" si="10"/>
        <v>学校のあゆみ／亀山城主石川家と家来の学校</v>
      </c>
      <c r="Q626" s="10" t="str">
        <f>HYPERLINK("http://www.kameyamarekihaku.jp/sisi/seckam3/chizushiro.php","市史考古分野(各コンテンツ)「亀山城跡を歩く」No.18")</f>
        <v>市史考古分野(各コンテンツ)「亀山城跡を歩く」No.18</v>
      </c>
      <c r="R626" s="157"/>
    </row>
    <row r="627" spans="1:18" s="139" customFormat="1" ht="33.75" customHeight="1" x14ac:dyDescent="0.15">
      <c r="A627" s="142" t="s">
        <v>1107</v>
      </c>
      <c r="B627" s="142">
        <v>18</v>
      </c>
      <c r="C627" s="143" t="s">
        <v>1701</v>
      </c>
      <c r="D627" s="143">
        <v>1787</v>
      </c>
      <c r="E627" s="144" t="s">
        <v>20</v>
      </c>
      <c r="F627" s="143" t="s">
        <v>1702</v>
      </c>
      <c r="G627" s="143"/>
      <c r="H627" s="142"/>
      <c r="I627" s="143"/>
      <c r="J627" s="142"/>
      <c r="K627" s="142"/>
      <c r="L627" s="142"/>
      <c r="M627" s="142"/>
      <c r="N627" s="12" t="s">
        <v>1703</v>
      </c>
      <c r="O627" s="12" t="s">
        <v>1649</v>
      </c>
      <c r="P627" s="13" t="str">
        <f t="shared" si="10"/>
        <v>日本の歴史の中の亀山／近世の亀山／田沼の政治と寛政改革</v>
      </c>
      <c r="Q627" s="158"/>
      <c r="R627" s="142"/>
    </row>
    <row r="628" spans="1:18" s="139" customFormat="1" ht="24.75" customHeight="1" x14ac:dyDescent="0.15">
      <c r="A628" s="145" t="s">
        <v>1107</v>
      </c>
      <c r="B628" s="145">
        <v>18</v>
      </c>
      <c r="C628" s="146" t="s">
        <v>1701</v>
      </c>
      <c r="D628" s="146">
        <v>1787</v>
      </c>
      <c r="E628" s="147" t="s">
        <v>20</v>
      </c>
      <c r="F628" s="146"/>
      <c r="G628" s="146" t="s">
        <v>1704</v>
      </c>
      <c r="H628" s="145" t="s">
        <v>28</v>
      </c>
      <c r="I628" s="146" t="s">
        <v>1705</v>
      </c>
      <c r="J628" s="145"/>
      <c r="K628" s="145" t="s">
        <v>1706</v>
      </c>
      <c r="L628" s="145" t="s">
        <v>1707</v>
      </c>
      <c r="M628" s="71" t="str">
        <f>HYPERLINK("http://kameyamarekihaku.jp/sisi/MinzokuHP/jirei/bunrui5/data5-1/gi.htm?pf=P1010016.jpg&amp;pn=%E5%AD%9D%E5%AD%90%E8%90%AC%E5%90%89%E9%A1%95%E5%BD%B0%E7%A2%91%EF%BC%88%E9%96%A2%E7%94%BA%E5%9D%82%E4%B8%8B%EF%BC%89","孝子万吉の碑")</f>
        <v>孝子万吉の碑</v>
      </c>
      <c r="N628" s="32"/>
      <c r="O628" s="32" t="e">
        <v>#VALUE!</v>
      </c>
      <c r="P628" s="33" t="str">
        <f t="shared" si="10"/>
        <v/>
      </c>
      <c r="Q628" s="17" t="str">
        <f>HYPERLINK("http:/kameyamarekihaku.jp/sisi/tuusiHP_next/tuusi-index.html#kinsei0602","市史通史編 近世第6章第2節第6項")</f>
        <v>市史通史編 近世第6章第2節第6項</v>
      </c>
      <c r="R628" s="351" t="s">
        <v>1708</v>
      </c>
    </row>
    <row r="629" spans="1:18" s="139" customFormat="1" ht="30.75" customHeight="1" x14ac:dyDescent="0.15">
      <c r="A629" s="151"/>
      <c r="B629" s="151"/>
      <c r="C629" s="152"/>
      <c r="D629" s="152"/>
      <c r="E629" s="153"/>
      <c r="F629" s="152"/>
      <c r="G629" s="152"/>
      <c r="H629" s="151"/>
      <c r="I629" s="152"/>
      <c r="J629" s="151"/>
      <c r="K629" s="151"/>
      <c r="L629" s="151"/>
      <c r="M629" s="151"/>
      <c r="N629" s="53"/>
      <c r="O629" s="29" t="e">
        <v>#VALUE!</v>
      </c>
      <c r="P629" s="30" t="str">
        <f t="shared" si="10"/>
        <v/>
      </c>
      <c r="Q629" s="102" t="str">
        <f>HYPERLINK("http://kameyamarekihaku.jp/sisi/MinzokuHP/jirei/bunrui11/data11-2/index11_2_1.htm","市史民俗編／口頭伝承〜孝子万吉のこと")</f>
        <v>市史民俗編／口頭伝承〜孝子万吉のこと</v>
      </c>
      <c r="R629" s="355"/>
    </row>
    <row r="630" spans="1:18" s="139" customFormat="1" ht="57" customHeight="1" x14ac:dyDescent="0.15">
      <c r="A630" s="142" t="s">
        <v>1107</v>
      </c>
      <c r="B630" s="142">
        <v>18</v>
      </c>
      <c r="C630" s="143" t="s">
        <v>1701</v>
      </c>
      <c r="D630" s="143">
        <v>1787</v>
      </c>
      <c r="E630" s="144" t="s">
        <v>20</v>
      </c>
      <c r="F630" s="143"/>
      <c r="G630" s="142" t="s">
        <v>1709</v>
      </c>
      <c r="H630" s="142" t="s">
        <v>1633</v>
      </c>
      <c r="I630" s="143"/>
      <c r="J630" s="142"/>
      <c r="K630" s="142"/>
      <c r="L630" s="142"/>
      <c r="M630" s="142"/>
      <c r="N630" s="12"/>
      <c r="O630" s="12" t="e">
        <v>#VALUE!</v>
      </c>
      <c r="P630" s="13" t="str">
        <f t="shared" si="10"/>
        <v/>
      </c>
      <c r="Q630" s="158"/>
      <c r="R630" s="142" t="s">
        <v>1710</v>
      </c>
    </row>
    <row r="631" spans="1:18" s="139" customFormat="1" ht="99" customHeight="1" x14ac:dyDescent="0.15">
      <c r="A631" s="142" t="s">
        <v>1107</v>
      </c>
      <c r="B631" s="142">
        <v>18</v>
      </c>
      <c r="C631" s="143" t="s">
        <v>1711</v>
      </c>
      <c r="D631" s="143">
        <v>1788</v>
      </c>
      <c r="E631" s="144" t="s">
        <v>20</v>
      </c>
      <c r="F631" s="143"/>
      <c r="G631" s="143" t="s">
        <v>1712</v>
      </c>
      <c r="H631" s="142" t="s">
        <v>1633</v>
      </c>
      <c r="I631" s="143"/>
      <c r="J631" s="142"/>
      <c r="K631" s="142"/>
      <c r="L631" s="142" t="s">
        <v>1713</v>
      </c>
      <c r="M631" s="142"/>
      <c r="N631" s="23"/>
      <c r="O631" s="23" t="e">
        <v>#VALUE!</v>
      </c>
      <c r="P631" s="24" t="str">
        <f t="shared" si="10"/>
        <v/>
      </c>
      <c r="Q631" s="25" t="str">
        <f>HYPERLINK("http:/kameyamarekihaku.jp/sisi/tuusiHP_next/tuusi-index.html#kinsei0502","市史通史編 近世第5章第2節第4項")</f>
        <v>市史通史編 近世第5章第2節第4項</v>
      </c>
      <c r="R631" s="142" t="s">
        <v>1714</v>
      </c>
    </row>
    <row r="632" spans="1:18" s="139" customFormat="1" ht="55.5" customHeight="1" x14ac:dyDescent="0.15">
      <c r="A632" s="142" t="s">
        <v>1107</v>
      </c>
      <c r="B632" s="142">
        <v>18</v>
      </c>
      <c r="C632" s="143" t="s">
        <v>1715</v>
      </c>
      <c r="D632" s="143">
        <v>1791</v>
      </c>
      <c r="E632" s="144" t="s">
        <v>20</v>
      </c>
      <c r="F632" s="143"/>
      <c r="G632" s="143" t="s">
        <v>1716</v>
      </c>
      <c r="H632" s="142" t="s">
        <v>1633</v>
      </c>
      <c r="I632" s="143"/>
      <c r="J632" s="142"/>
      <c r="K632" s="142"/>
      <c r="L632" s="142"/>
      <c r="M632" s="142"/>
      <c r="N632" s="23"/>
      <c r="O632" s="23" t="e">
        <v>#VALUE!</v>
      </c>
      <c r="P632" s="24" t="str">
        <f t="shared" si="10"/>
        <v/>
      </c>
      <c r="Q632" s="25" t="str">
        <f>HYPERLINK("http:/kameyamarekihaku.jp/sisi/tuusiHP_next/tuusi-index.html#kinsei0502","市史通史編 近世第5章第2節第4項")</f>
        <v>市史通史編 近世第5章第2節第4項</v>
      </c>
      <c r="R632" s="142" t="s">
        <v>1717</v>
      </c>
    </row>
    <row r="633" spans="1:18" s="139" customFormat="1" ht="61.5" customHeight="1" x14ac:dyDescent="0.15">
      <c r="A633" s="142" t="s">
        <v>1107</v>
      </c>
      <c r="B633" s="142">
        <v>18</v>
      </c>
      <c r="C633" s="143" t="s">
        <v>1718</v>
      </c>
      <c r="D633" s="143">
        <v>1796</v>
      </c>
      <c r="E633" s="144" t="s">
        <v>20</v>
      </c>
      <c r="F633" s="143"/>
      <c r="G633" s="143" t="s">
        <v>1719</v>
      </c>
      <c r="H633" s="142"/>
      <c r="I633" s="143"/>
      <c r="J633" s="142" t="s">
        <v>1101</v>
      </c>
      <c r="K633" s="142" t="s">
        <v>1720</v>
      </c>
      <c r="L633" s="142"/>
      <c r="M633" s="142"/>
      <c r="N633" s="23" t="s">
        <v>1721</v>
      </c>
      <c r="O633" s="23" t="s">
        <v>1620</v>
      </c>
      <c r="P633" s="24" t="str">
        <f t="shared" si="10"/>
        <v>亀山城と宿場／江戸時代の亀山城主／石川総慶・総堯・総純・総博・総師・総佐・総安・総惠・総禄・総脩・成之</v>
      </c>
      <c r="Q633" s="25" t="str">
        <f>HYPERLINK("http:/kameyamarekihaku.jp/sisi/RekisiHP/kinsei/jousyu.html","市史近世ページ　亀山城主のうつりかわり")</f>
        <v>市史近世ページ　亀山城主のうつりかわり</v>
      </c>
      <c r="R633" s="142" t="s">
        <v>1722</v>
      </c>
    </row>
    <row r="634" spans="1:18" s="139" customFormat="1" ht="19.5" customHeight="1" x14ac:dyDescent="0.15">
      <c r="A634" s="88" t="s">
        <v>1107</v>
      </c>
      <c r="B634" s="145">
        <v>18</v>
      </c>
      <c r="C634" s="148" t="s">
        <v>1723</v>
      </c>
      <c r="D634" s="146">
        <v>1800</v>
      </c>
      <c r="E634" s="147" t="s">
        <v>34</v>
      </c>
      <c r="F634" s="146"/>
      <c r="G634" s="345" t="s">
        <v>1724</v>
      </c>
      <c r="H634" s="145" t="s">
        <v>199</v>
      </c>
      <c r="I634" s="146" t="s">
        <v>535</v>
      </c>
      <c r="J634" s="71" t="str">
        <f>HYPERLINK("http://kameyamarekihaku.jp/sisi/tuusiHP_next/kochuusei/image/10/gi.htm?pf=1310sh192.JPG&amp;?pn=%E5%86%99%E7%9C%9F192%20%E5%9C%B0%E8%94%B5%E9%99%A2%EF%BC%88%E9%96%A2%E7%94%BA%E6%96%B0%E6%89%80%EF%BC%89","関地蔵院")</f>
        <v>関地蔵院</v>
      </c>
      <c r="K634" s="145" t="s">
        <v>1725</v>
      </c>
      <c r="L634" s="145"/>
      <c r="M634" s="145" t="s">
        <v>1726</v>
      </c>
      <c r="N634" s="34" t="s">
        <v>1248</v>
      </c>
      <c r="O634" s="34" t="s">
        <v>923</v>
      </c>
      <c r="P634" s="35" t="str">
        <f t="shared" si="10"/>
        <v>むかしの道と交通／亀山の近世の道</v>
      </c>
      <c r="Q634" s="160"/>
      <c r="R634" s="145" t="s">
        <v>1727</v>
      </c>
    </row>
    <row r="635" spans="1:18" s="139" customFormat="1" ht="33.75" customHeight="1" x14ac:dyDescent="0.15">
      <c r="A635" s="90"/>
      <c r="B635" s="136"/>
      <c r="C635" s="150"/>
      <c r="D635" s="137"/>
      <c r="E635" s="138"/>
      <c r="F635" s="137"/>
      <c r="G635" s="346"/>
      <c r="H635" s="136"/>
      <c r="I635" s="137"/>
      <c r="J635" s="76"/>
      <c r="K635" s="136"/>
      <c r="L635" s="136"/>
      <c r="M635" s="136"/>
      <c r="N635" s="84" t="s">
        <v>1728</v>
      </c>
      <c r="O635" s="84" t="s">
        <v>1251</v>
      </c>
      <c r="P635" s="85" t="str">
        <f t="shared" si="10"/>
        <v>亀山城と宿場／４つの宿場／東海道・伊勢街道・大和街道分岐の宿場 関宿</v>
      </c>
      <c r="Q635" s="79"/>
      <c r="R635" s="136"/>
    </row>
    <row r="636" spans="1:18" s="139" customFormat="1" ht="30.75" customHeight="1" x14ac:dyDescent="0.15">
      <c r="A636" s="90"/>
      <c r="B636" s="136"/>
      <c r="C636" s="150"/>
      <c r="D636" s="137"/>
      <c r="E636" s="138"/>
      <c r="F636" s="137"/>
      <c r="G636" s="137"/>
      <c r="H636" s="136"/>
      <c r="I636" s="137"/>
      <c r="J636" s="76"/>
      <c r="K636" s="136"/>
      <c r="L636" s="136"/>
      <c r="M636" s="136"/>
      <c r="N636" s="84" t="s">
        <v>1236</v>
      </c>
      <c r="O636" s="84" t="s">
        <v>1212</v>
      </c>
      <c r="P636" s="85" t="str">
        <f t="shared" si="10"/>
        <v>古典に出てくる亀山／旅／江戸時代の旅人</v>
      </c>
      <c r="Q636" s="79"/>
      <c r="R636" s="136"/>
    </row>
    <row r="637" spans="1:18" s="151" customFormat="1" ht="18" customHeight="1" x14ac:dyDescent="0.15">
      <c r="A637" s="90"/>
      <c r="B637" s="136"/>
      <c r="C637" s="150"/>
      <c r="D637" s="137"/>
      <c r="E637" s="138"/>
      <c r="F637" s="137"/>
      <c r="G637" s="137"/>
      <c r="H637" s="136"/>
      <c r="I637" s="137"/>
      <c r="J637" s="76"/>
      <c r="K637" s="136"/>
      <c r="L637" s="136"/>
      <c r="M637" s="136"/>
      <c r="N637" s="84" t="s">
        <v>1083</v>
      </c>
      <c r="O637" s="84" t="s">
        <v>774</v>
      </c>
      <c r="P637" s="85" t="str">
        <f t="shared" si="10"/>
        <v>亀山のいいとこさがし／建物</v>
      </c>
      <c r="Q637" s="79"/>
      <c r="R637" s="136"/>
    </row>
    <row r="638" spans="1:18" s="208" customFormat="1" ht="62.25" customHeight="1" x14ac:dyDescent="0.15">
      <c r="A638" s="91"/>
      <c r="B638" s="151"/>
      <c r="C638" s="155"/>
      <c r="D638" s="152"/>
      <c r="E638" s="153"/>
      <c r="F638" s="152"/>
      <c r="G638" s="152"/>
      <c r="H638" s="151"/>
      <c r="I638" s="152"/>
      <c r="J638" s="102"/>
      <c r="K638" s="151"/>
      <c r="L638" s="151"/>
      <c r="M638" s="151"/>
      <c r="N638" s="86" t="s">
        <v>1729</v>
      </c>
      <c r="O638" s="86" t="s">
        <v>776</v>
      </c>
      <c r="P638" s="87" t="str">
        <f t="shared" si="10"/>
        <v>亀山のいいとこさがし／景色のよいところや歴史を知る手掛かりとなるもの／関宿のまちなみ／新所のまちなみ／地蔵院本堂・鐘楼・愛染堂</v>
      </c>
      <c r="Q638" s="157"/>
      <c r="R638" s="151"/>
    </row>
    <row r="639" spans="1:18" s="6" customFormat="1" ht="65.25" customHeight="1" x14ac:dyDescent="0.15">
      <c r="A639" s="91" t="s">
        <v>1107</v>
      </c>
      <c r="B639" s="91">
        <v>19</v>
      </c>
      <c r="C639" s="169" t="s">
        <v>1730</v>
      </c>
      <c r="D639" s="169">
        <v>1802</v>
      </c>
      <c r="E639" s="153" t="s">
        <v>20</v>
      </c>
      <c r="F639" s="169"/>
      <c r="G639" s="169" t="s">
        <v>1731</v>
      </c>
      <c r="H639" s="91" t="s">
        <v>1686</v>
      </c>
      <c r="I639" s="202" t="s">
        <v>1732</v>
      </c>
      <c r="J639" s="91" t="s">
        <v>1281</v>
      </c>
      <c r="K639" s="91" t="s">
        <v>1733</v>
      </c>
      <c r="L639" s="91" t="s">
        <v>1734</v>
      </c>
      <c r="M639" s="91"/>
      <c r="N639" s="86" t="s">
        <v>1735</v>
      </c>
      <c r="O639" s="86" t="s">
        <v>1736</v>
      </c>
      <c r="P639" s="87" t="str">
        <f t="shared" si="10"/>
        <v>日本の歴史の中の亀山／近世の亀山／外国船の出現と天保改革／あれからおよそ四十年、天保二年に写された大黒屋光太夫の記録</v>
      </c>
      <c r="Q639" s="172"/>
      <c r="R639" s="91" t="s">
        <v>1737</v>
      </c>
    </row>
    <row r="640" spans="1:18" s="139" customFormat="1" ht="69" customHeight="1" x14ac:dyDescent="0.15">
      <c r="A640" s="142" t="s">
        <v>1107</v>
      </c>
      <c r="B640" s="142">
        <v>19</v>
      </c>
      <c r="C640" s="161" t="s">
        <v>1738</v>
      </c>
      <c r="D640" s="143">
        <v>1803</v>
      </c>
      <c r="E640" s="144" t="s">
        <v>20</v>
      </c>
      <c r="F640" s="143"/>
      <c r="G640" s="143" t="s">
        <v>1739</v>
      </c>
      <c r="H640" s="142"/>
      <c r="I640" s="143"/>
      <c r="J640" s="142" t="s">
        <v>1101</v>
      </c>
      <c r="K640" s="142" t="s">
        <v>1740</v>
      </c>
      <c r="L640" s="142"/>
      <c r="M640" s="142"/>
      <c r="N640" s="23" t="s">
        <v>1741</v>
      </c>
      <c r="O640" s="23" t="s">
        <v>1620</v>
      </c>
      <c r="P640" s="24" t="str">
        <f t="shared" si="10"/>
        <v>亀山城と宿場／江戸時代の亀山城主／石川総慶・総堯・総純・総博・総師・総佐・総安・総惠・総禄・総脩・成之</v>
      </c>
      <c r="Q640" s="25" t="str">
        <f>HYPERLINK("http:/kameyamarekihaku.jp/sisi/RekisiHP/kinsei/jousyu.html","市史近世ページ　亀山城主のうつりかわり")</f>
        <v>市史近世ページ　亀山城主のうつりかわり</v>
      </c>
      <c r="R640" s="142" t="s">
        <v>1722</v>
      </c>
    </row>
    <row r="641" spans="1:18" s="139" customFormat="1" ht="33.75" customHeight="1" x14ac:dyDescent="0.15">
      <c r="A641" s="145" t="s">
        <v>1107</v>
      </c>
      <c r="B641" s="145">
        <v>19</v>
      </c>
      <c r="C641" s="146" t="s">
        <v>1742</v>
      </c>
      <c r="D641" s="146">
        <v>1803</v>
      </c>
      <c r="E641" s="147" t="s">
        <v>34</v>
      </c>
      <c r="F641" s="146"/>
      <c r="G641" s="148" t="s">
        <v>1743</v>
      </c>
      <c r="H641" s="347" t="s">
        <v>1744</v>
      </c>
      <c r="I641" s="146"/>
      <c r="J641" s="145" t="s">
        <v>1745</v>
      </c>
      <c r="K641" s="145"/>
      <c r="L641" s="71" t="str">
        <f>HYPERLINK("http://kameyamarekihaku.jp/22kikaku/webzuroku/sozai/aramasi/aramasi.html","「石川主殿頭城下伊勢国鈴鹿郡亀山宿絵図」（寄託史料）")</f>
        <v>「石川主殿頭城下伊勢国鈴鹿郡亀山宿絵図」（寄託史料）</v>
      </c>
      <c r="M641" s="145"/>
      <c r="N641" s="74" t="s">
        <v>1746</v>
      </c>
      <c r="O641" s="32" t="s">
        <v>1747</v>
      </c>
      <c r="P641" s="33" t="str">
        <f t="shared" si="10"/>
        <v>亀山城と宿場／４つの宿場／城下町の宿場 亀山宿</v>
      </c>
      <c r="Q641" s="182" t="str">
        <f>HYPERLINK("http://kameyamarekihaku.jp/raikan_demae/141112_kameyama_cyu.html","亀中2年授業支援実践例「東海道と亀山宿」")</f>
        <v>亀中2年授業支援実践例「東海道と亀山宿」</v>
      </c>
      <c r="R641" s="347" t="s">
        <v>1748</v>
      </c>
    </row>
    <row r="642" spans="1:18" s="139" customFormat="1" ht="33.75" customHeight="1" x14ac:dyDescent="0.15">
      <c r="A642" s="136"/>
      <c r="B642" s="136"/>
      <c r="C642" s="137"/>
      <c r="D642" s="137"/>
      <c r="E642" s="138"/>
      <c r="F642" s="137"/>
      <c r="G642" s="150"/>
      <c r="H642" s="332"/>
      <c r="I642" s="137"/>
      <c r="J642" s="136"/>
      <c r="K642" s="136"/>
      <c r="L642" s="76"/>
      <c r="M642" s="136"/>
      <c r="N642" s="42" t="s">
        <v>1749</v>
      </c>
      <c r="O642" s="19" t="s">
        <v>1122</v>
      </c>
      <c r="P642" s="20" t="str">
        <f t="shared" si="10"/>
        <v>日本の歴史の中の亀山／近世の亀山／街道の宿場町を歩く</v>
      </c>
      <c r="Q642" s="162" t="str">
        <f>HYPERLINK("http://kameyamarekihaku.jp/raikan_demae/140620_nisi_syo.html","西小6年地域素材の教材化実践例「亀山の史跡を知ろう」")</f>
        <v>西小6年地域素材の教材化実践例「亀山の史跡を知ろう」</v>
      </c>
      <c r="R642" s="332"/>
    </row>
    <row r="643" spans="1:18" s="139" customFormat="1" ht="21" customHeight="1" x14ac:dyDescent="0.15">
      <c r="A643" s="136"/>
      <c r="B643" s="136"/>
      <c r="C643" s="137"/>
      <c r="D643" s="137"/>
      <c r="E643" s="138"/>
      <c r="F643" s="137"/>
      <c r="G643" s="137"/>
      <c r="H643" s="332"/>
      <c r="I643" s="137"/>
      <c r="J643" s="136"/>
      <c r="K643" s="136"/>
      <c r="L643" s="332" t="s">
        <v>1750</v>
      </c>
      <c r="M643" s="136"/>
      <c r="N643" s="317" t="s">
        <v>1751</v>
      </c>
      <c r="O643" s="317" t="s">
        <v>1752</v>
      </c>
      <c r="P643" s="318" t="str">
        <f t="shared" si="10"/>
        <v>日本の歴史の中の亀山／近世の亀山／街道の宿場町を歩く／五街道分間延絵図作成事業における亀山領内東海道現地測量</v>
      </c>
      <c r="Q643" s="21" t="str">
        <f>HYPERLINK("http:/kameyamarekihaku.jp/sisi/tuusiHP_next/tuusi-index.html#kinsei0401","市史通史編 近世第4章第1節第4項")</f>
        <v>市史通史編 近世第4章第1節第4項</v>
      </c>
      <c r="R643" s="332"/>
    </row>
    <row r="644" spans="1:18" s="139" customFormat="1" ht="19.5" customHeight="1" x14ac:dyDescent="0.15">
      <c r="A644" s="136"/>
      <c r="B644" s="136"/>
      <c r="C644" s="137"/>
      <c r="D644" s="137"/>
      <c r="E644" s="138"/>
      <c r="F644" s="137"/>
      <c r="G644" s="137"/>
      <c r="H644" s="332"/>
      <c r="I644" s="137"/>
      <c r="J644" s="136"/>
      <c r="K644" s="136"/>
      <c r="L644" s="332"/>
      <c r="M644" s="136"/>
      <c r="N644" s="317"/>
      <c r="O644" s="317" t="e">
        <v>#VALUE!</v>
      </c>
      <c r="P644" s="318" t="str">
        <f t="shared" si="10"/>
        <v/>
      </c>
      <c r="Q644" s="21" t="str">
        <f>HYPERLINK("http://kameyamarekihaku.jp/21theme/zone4-kaido/zone4-kaido_top.html","過去の常設展示『亀山宿問屋若林家』")</f>
        <v>過去の常設展示『亀山宿問屋若林家』</v>
      </c>
      <c r="R644" s="79"/>
    </row>
    <row r="645" spans="1:18" s="139" customFormat="1" ht="30" customHeight="1" x14ac:dyDescent="0.15">
      <c r="A645" s="151"/>
      <c r="B645" s="151"/>
      <c r="C645" s="152"/>
      <c r="D645" s="152"/>
      <c r="E645" s="153"/>
      <c r="F645" s="152"/>
      <c r="G645" s="152"/>
      <c r="H645" s="157"/>
      <c r="I645" s="152"/>
      <c r="J645" s="151"/>
      <c r="K645" s="151"/>
      <c r="L645" s="151"/>
      <c r="M645" s="151"/>
      <c r="N645" s="306"/>
      <c r="O645" s="306" t="e">
        <v>#VALUE!</v>
      </c>
      <c r="P645" s="308" t="str">
        <f t="shared" ref="P645:P708" si="11">IFERROR(HYPERLINK(O645,N645),"")</f>
        <v/>
      </c>
      <c r="Q645" s="10" t="str">
        <f>HYPERLINK("http://www.kameyamarekihaku.jp/sisi/seckam3/chizukouko.php","市史考古分野(各コンテンツ)「亀山城下町を歩く」")</f>
        <v>市史考古分野(各コンテンツ)「亀山城下町を歩く」</v>
      </c>
      <c r="R645" s="157"/>
    </row>
    <row r="646" spans="1:18" s="139" customFormat="1" ht="26.25" customHeight="1" x14ac:dyDescent="0.15">
      <c r="A646" s="142" t="s">
        <v>1107</v>
      </c>
      <c r="B646" s="142">
        <v>19</v>
      </c>
      <c r="C646" s="143" t="s">
        <v>1753</v>
      </c>
      <c r="D646" s="143"/>
      <c r="E646" s="144" t="s">
        <v>34</v>
      </c>
      <c r="F646" s="143"/>
      <c r="G646" s="143" t="s">
        <v>1754</v>
      </c>
      <c r="H646" s="142" t="s">
        <v>28</v>
      </c>
      <c r="I646" s="143" t="s">
        <v>1755</v>
      </c>
      <c r="J646" s="142"/>
      <c r="K646" s="142"/>
      <c r="L646" s="142" t="s">
        <v>1756</v>
      </c>
      <c r="M646" s="142"/>
      <c r="N646" s="12"/>
      <c r="O646" s="12" t="e">
        <v>#VALUE!</v>
      </c>
      <c r="P646" s="13" t="str">
        <f t="shared" si="11"/>
        <v/>
      </c>
      <c r="Q646" s="158"/>
      <c r="R646" s="142" t="s">
        <v>1757</v>
      </c>
    </row>
    <row r="647" spans="1:18" s="139" customFormat="1" ht="57.75" customHeight="1" x14ac:dyDescent="0.15">
      <c r="A647" s="120" t="s">
        <v>1107</v>
      </c>
      <c r="B647" s="120">
        <v>20</v>
      </c>
      <c r="C647" s="175" t="s">
        <v>1758</v>
      </c>
      <c r="D647" s="175">
        <v>1806</v>
      </c>
      <c r="E647" s="144" t="s">
        <v>20</v>
      </c>
      <c r="F647" s="175"/>
      <c r="G647" s="175" t="s">
        <v>1759</v>
      </c>
      <c r="H647" s="120" t="s">
        <v>28</v>
      </c>
      <c r="I647" s="175" t="s">
        <v>1760</v>
      </c>
      <c r="J647" s="209" t="s">
        <v>1761</v>
      </c>
      <c r="K647" s="120"/>
      <c r="L647" s="120"/>
      <c r="M647" s="120"/>
      <c r="N647" s="12"/>
      <c r="O647" s="12" t="e">
        <v>#VALUE!</v>
      </c>
      <c r="P647" s="13" t="str">
        <f t="shared" si="11"/>
        <v/>
      </c>
      <c r="Q647" s="192"/>
      <c r="R647" s="142" t="s">
        <v>1464</v>
      </c>
    </row>
    <row r="648" spans="1:18" s="139" customFormat="1" ht="13.15" customHeight="1" x14ac:dyDescent="0.15">
      <c r="A648" s="142" t="s">
        <v>1107</v>
      </c>
      <c r="B648" s="142">
        <v>19</v>
      </c>
      <c r="C648" s="161" t="s">
        <v>1762</v>
      </c>
      <c r="D648" s="143">
        <v>1808</v>
      </c>
      <c r="E648" s="144" t="s">
        <v>20</v>
      </c>
      <c r="F648" s="143" t="s">
        <v>1763</v>
      </c>
      <c r="G648" s="143"/>
      <c r="H648" s="142"/>
      <c r="I648" s="143"/>
      <c r="J648" s="142"/>
      <c r="K648" s="142"/>
      <c r="L648" s="142"/>
      <c r="M648" s="142"/>
      <c r="N648" s="12"/>
      <c r="O648" s="12" t="e">
        <v>#VALUE!</v>
      </c>
      <c r="P648" s="13" t="str">
        <f t="shared" si="11"/>
        <v/>
      </c>
      <c r="Q648" s="158"/>
      <c r="R648" s="142"/>
    </row>
    <row r="649" spans="1:18" s="139" customFormat="1" ht="31.5" customHeight="1" x14ac:dyDescent="0.15">
      <c r="A649" s="145" t="s">
        <v>1107</v>
      </c>
      <c r="B649" s="145">
        <v>19</v>
      </c>
      <c r="C649" s="146" t="s">
        <v>1764</v>
      </c>
      <c r="D649" s="146">
        <v>1812</v>
      </c>
      <c r="E649" s="147" t="s">
        <v>20</v>
      </c>
      <c r="F649" s="146"/>
      <c r="G649" s="148" t="s">
        <v>1765</v>
      </c>
      <c r="H649" s="145" t="s">
        <v>1766</v>
      </c>
      <c r="I649" s="146" t="s">
        <v>1157</v>
      </c>
      <c r="J649" s="145" t="s">
        <v>1767</v>
      </c>
      <c r="K649" s="145"/>
      <c r="L649" s="145" t="s">
        <v>1768</v>
      </c>
      <c r="M649" s="145"/>
      <c r="N649" s="32" t="s">
        <v>1769</v>
      </c>
      <c r="O649" s="32" t="s">
        <v>1770</v>
      </c>
      <c r="P649" s="33" t="str">
        <f t="shared" si="11"/>
        <v>亀山城と宿場／亀山城のつくり／御殿／二之丸御殿</v>
      </c>
      <c r="Q649" s="17" t="str">
        <f>HYPERLINK("http:/kameyamarekihaku.jp/sisi/tuusiHP_next/tuusi-index.html#kinsei0502","市史通史編 近世第5章第2節第4項")</f>
        <v>市史通史編 近世第5章第2節第4項</v>
      </c>
      <c r="R649" s="347" t="s">
        <v>1771</v>
      </c>
    </row>
    <row r="650" spans="1:18" s="139" customFormat="1" ht="33" customHeight="1" x14ac:dyDescent="0.15">
      <c r="A650" s="151"/>
      <c r="B650" s="151"/>
      <c r="C650" s="152"/>
      <c r="D650" s="152"/>
      <c r="E650" s="153"/>
      <c r="F650" s="152"/>
      <c r="G650" s="155"/>
      <c r="H650" s="151"/>
      <c r="I650" s="152"/>
      <c r="J650" s="151"/>
      <c r="K650" s="151"/>
      <c r="L650" s="21" t="str">
        <f>HYPERLINK("http://kameyamarekihaku.jp/22kikaku/webzuroku/gi_auto.html?pf=sozai/ninomaru_l.jpg&amp;?pn=%E4%BA%8C%E4%B9%8B%E4%B8%B8%E5%BE%A1%E6%AE%BF%EF%BC%88%E6%98%8E%E6%B2%BB5%E5%B9%B4%E9%A0%83%E6%92%AE%E5%BD%B1%EF%BC%89","画像史料：二之丸御殿（明治5年頃撮影）")</f>
        <v>画像史料：二之丸御殿（明治5年頃撮影）</v>
      </c>
      <c r="M650" s="151"/>
      <c r="N650" s="29"/>
      <c r="O650" s="29" t="e">
        <v>#VALUE!</v>
      </c>
      <c r="P650" s="30" t="str">
        <f t="shared" si="11"/>
        <v/>
      </c>
      <c r="Q650" s="10" t="str">
        <f>HYPERLINK("http://www.kameyamarekihaku.jp/sisi/seckam3/chizushiro.php","市史考古分野(各コンテンツ)「亀山城跡を歩く」No.36")</f>
        <v>市史考古分野(各コンテンツ)「亀山城跡を歩く」No.36</v>
      </c>
      <c r="R650" s="348"/>
    </row>
    <row r="651" spans="1:18" s="139" customFormat="1" ht="18" customHeight="1" x14ac:dyDescent="0.15">
      <c r="A651" s="145" t="s">
        <v>1107</v>
      </c>
      <c r="B651" s="145">
        <v>19</v>
      </c>
      <c r="C651" s="146" t="s">
        <v>1772</v>
      </c>
      <c r="D651" s="146">
        <v>1814</v>
      </c>
      <c r="E651" s="147" t="s">
        <v>34</v>
      </c>
      <c r="F651" s="146"/>
      <c r="G651" s="146" t="s">
        <v>1773</v>
      </c>
      <c r="H651" s="347" t="s">
        <v>1774</v>
      </c>
      <c r="I651" s="146"/>
      <c r="J651" s="145" t="s">
        <v>1775</v>
      </c>
      <c r="K651" s="145" t="s">
        <v>1776</v>
      </c>
      <c r="L651" s="145"/>
      <c r="M651" s="337" t="str">
        <f>HYPERLINK("http://kameyamarekihaku.jp/sisi/MinzokuHP/jirei/bunrui5/data5-1/gi.htm?pf=kt1-1.jpg&amp;pn=%E3%80%8C%E5%B7%A1%E8%A6%8B%E3%80%8D%E3%81%A8%E6%9B%B8%E3%81%8B%E3%82%8C%E3%81%9F%E9%81%93%E6%A8%99","「巡見」と書かれた道標（川崎町徳原）")</f>
        <v>「巡見」と書かれた道標（川崎町徳原）</v>
      </c>
      <c r="N651" s="310" t="s">
        <v>1777</v>
      </c>
      <c r="O651" s="310" t="s">
        <v>923</v>
      </c>
      <c r="P651" s="311" t="str">
        <f t="shared" si="11"/>
        <v>むかしの道と交通／亀山の近世の道</v>
      </c>
      <c r="Q651" s="337" t="str">
        <f>HYPERLINK("http://www.kameyamarekihaku.jp/sisi/seckam3/chizukouko.php","市史考古分野(各コンテンツ)「亀山城下町を歩く」No.4")</f>
        <v>市史考古分野(各コンテンツ)「亀山城下町を歩く」No.4</v>
      </c>
      <c r="R651" s="347" t="s">
        <v>1778</v>
      </c>
    </row>
    <row r="652" spans="1:18" s="139" customFormat="1" ht="26.25" customHeight="1" x14ac:dyDescent="0.15">
      <c r="A652" s="151"/>
      <c r="B652" s="151"/>
      <c r="C652" s="152"/>
      <c r="D652" s="152"/>
      <c r="E652" s="153"/>
      <c r="F652" s="152"/>
      <c r="G652" s="152"/>
      <c r="H652" s="348"/>
      <c r="I652" s="152"/>
      <c r="J652" s="102" t="str">
        <f>HYPERLINK("http://kameyamarekihaku.jp/sisi/koukoHP/archives/kamejyougennjyo/01/01-01/gi.html?pf=KJGNJY0101-01-072.JPG&amp;pn=%E5%B7%A1%E8%A6%8B%E9%81%93%EF%BC%88%E8%8F%B0%E9%87%8E%E9%81%93%EF%BC%89%E5%88%86%E5%B2%90","巡見街道(菰野道）分岐")</f>
        <v>巡見街道(菰野道）分岐</v>
      </c>
      <c r="K652" s="151"/>
      <c r="L652" s="151"/>
      <c r="M652" s="339"/>
      <c r="N652" s="306"/>
      <c r="O652" s="306" t="e">
        <v>#VALUE!</v>
      </c>
      <c r="P652" s="308" t="str">
        <f t="shared" si="11"/>
        <v/>
      </c>
      <c r="Q652" s="339"/>
      <c r="R652" s="348"/>
    </row>
    <row r="653" spans="1:18" s="139" customFormat="1" ht="30.75" customHeight="1" x14ac:dyDescent="0.15">
      <c r="A653" s="145" t="s">
        <v>1107</v>
      </c>
      <c r="B653" s="145">
        <v>19</v>
      </c>
      <c r="C653" s="146"/>
      <c r="D653" s="146"/>
      <c r="E653" s="147" t="s">
        <v>34</v>
      </c>
      <c r="F653" s="146" t="s">
        <v>1779</v>
      </c>
      <c r="G653" s="146"/>
      <c r="H653" s="145"/>
      <c r="I653" s="41"/>
      <c r="J653" s="145"/>
      <c r="K653" s="145"/>
      <c r="L653" s="210" t="str">
        <f>HYPERLINK("http://kameyamarekihaku.jp/yane_no_nai/unit_leaf/A-10.pdf","歴博貸出ユニットA－10")</f>
        <v>歴博貸出ユニットA－10</v>
      </c>
      <c r="M653" s="145"/>
      <c r="N653" s="32" t="s">
        <v>1780</v>
      </c>
      <c r="O653" s="32" t="s">
        <v>1781</v>
      </c>
      <c r="P653" s="33" t="str">
        <f t="shared" si="11"/>
        <v>日本の歴史の中の亀山／近世の亀山／新しい学問と化政文化</v>
      </c>
      <c r="Q653" s="182" t="str">
        <f>HYPERLINK("http://kameyamarekihaku.jp/raikan_demae/140314_kame_chu.html","亀中2年授業支援実践例「新しい学問と化政文化」")</f>
        <v>亀中2年授業支援実践例「新しい学問と化政文化」</v>
      </c>
      <c r="R653" s="145" t="s">
        <v>1782</v>
      </c>
    </row>
    <row r="654" spans="1:18" s="139" customFormat="1" ht="48" customHeight="1" x14ac:dyDescent="0.15">
      <c r="A654" s="136"/>
      <c r="B654" s="136"/>
      <c r="C654" s="137"/>
      <c r="D654" s="137"/>
      <c r="E654" s="138"/>
      <c r="F654" s="137"/>
      <c r="G654" s="137"/>
      <c r="H654" s="136"/>
      <c r="I654" s="41"/>
      <c r="J654" s="136"/>
      <c r="K654" s="136"/>
      <c r="L654" s="211"/>
      <c r="M654" s="136"/>
      <c r="N654" s="19" t="s">
        <v>1516</v>
      </c>
      <c r="O654" s="19" t="s">
        <v>1517</v>
      </c>
      <c r="P654" s="20" t="str">
        <f t="shared" si="11"/>
        <v>亀山のいいとこさがし／絵</v>
      </c>
      <c r="Q654" s="162" t="str">
        <f>HYPERLINK("http://kameyamarekihaku.jp/yane_no_nai/131219_seki_syo.html","関小2年出前授業実践例「むかしの亀山がえがかれたはんがでしんけいすいじゃくをしてみよう」")</f>
        <v>関小2年出前授業実践例「むかしの亀山がえがかれたはんがでしんけいすいじゃくをしてみよう」</v>
      </c>
      <c r="R654" s="136"/>
    </row>
    <row r="655" spans="1:18" s="139" customFormat="1" ht="30" customHeight="1" x14ac:dyDescent="0.15">
      <c r="A655" s="136"/>
      <c r="B655" s="136"/>
      <c r="C655" s="137"/>
      <c r="D655" s="137"/>
      <c r="E655" s="138"/>
      <c r="F655" s="137"/>
      <c r="G655" s="137"/>
      <c r="H655" s="136"/>
      <c r="I655" s="41"/>
      <c r="J655" s="136"/>
      <c r="K655" s="136"/>
      <c r="L655" s="211"/>
      <c r="M655" s="136"/>
      <c r="N655" s="19"/>
      <c r="O655" s="19" t="e">
        <v>#VALUE!</v>
      </c>
      <c r="P655" s="20" t="str">
        <f t="shared" si="11"/>
        <v/>
      </c>
      <c r="Q655" s="162" t="str">
        <f>HYPERLINK("http://kameyamarekihaku.jp/yane_no_nai/jissen_rei/sekichy2411.html","関中2年出前授業実践例「江戸時代の文化」")</f>
        <v>関中2年出前授業実践例「江戸時代の文化」</v>
      </c>
      <c r="R655" s="136"/>
    </row>
    <row r="656" spans="1:18" s="139" customFormat="1" ht="20.25" customHeight="1" x14ac:dyDescent="0.15">
      <c r="A656" s="151"/>
      <c r="B656" s="151"/>
      <c r="C656" s="152"/>
      <c r="D656" s="152"/>
      <c r="E656" s="153"/>
      <c r="F656" s="152"/>
      <c r="G656" s="152"/>
      <c r="H656" s="151"/>
      <c r="I656" s="107"/>
      <c r="J656" s="151"/>
      <c r="K656" s="151"/>
      <c r="L656" s="212"/>
      <c r="M656" s="151"/>
      <c r="N656" s="29"/>
      <c r="O656" s="29" t="e">
        <v>#VALUE!</v>
      </c>
      <c r="P656" s="30" t="str">
        <f t="shared" si="11"/>
        <v/>
      </c>
      <c r="Q656" s="10" t="str">
        <f>HYPERLINK("http://kameyamarekihaku.jp/20kikaku/webzuroku/kikakuten20.html","過去の企画展　館蔵浮世絵展")</f>
        <v>過去の企画展　館蔵浮世絵展</v>
      </c>
      <c r="R656" s="151"/>
    </row>
    <row r="657" spans="1:18" s="139" customFormat="1" ht="57.75" customHeight="1" x14ac:dyDescent="0.15">
      <c r="A657" s="142" t="s">
        <v>1107</v>
      </c>
      <c r="B657" s="142">
        <v>19</v>
      </c>
      <c r="C657" s="143" t="s">
        <v>1783</v>
      </c>
      <c r="D657" s="143">
        <v>1820</v>
      </c>
      <c r="E657" s="144" t="s">
        <v>20</v>
      </c>
      <c r="F657" s="143"/>
      <c r="G657" s="143" t="s">
        <v>1784</v>
      </c>
      <c r="H657" s="142"/>
      <c r="I657" s="143"/>
      <c r="J657" s="142" t="s">
        <v>1086</v>
      </c>
      <c r="K657" s="142" t="s">
        <v>1785</v>
      </c>
      <c r="L657" s="142"/>
      <c r="M657" s="142"/>
      <c r="N657" s="23" t="s">
        <v>1741</v>
      </c>
      <c r="O657" s="23" t="s">
        <v>1620</v>
      </c>
      <c r="P657" s="24" t="str">
        <f t="shared" si="11"/>
        <v>亀山城と宿場／江戸時代の亀山城主／石川総慶・総堯・総純・総博・総師・総佐・総安・総惠・総禄・総脩・成之</v>
      </c>
      <c r="Q657" s="25" t="str">
        <f>HYPERLINK("http:/kameyamarekihaku.jp/sisi/RekisiHP/kinsei/jousyu.html","市史近世ページ　亀山城主のうつりかわり")</f>
        <v>市史近世ページ　亀山城主のうつりかわり</v>
      </c>
      <c r="R657" s="142" t="s">
        <v>1595</v>
      </c>
    </row>
    <row r="658" spans="1:18" s="139" customFormat="1" ht="30.75" customHeight="1" x14ac:dyDescent="0.15">
      <c r="A658" s="145" t="s">
        <v>1107</v>
      </c>
      <c r="B658" s="145">
        <v>19</v>
      </c>
      <c r="C658" s="146" t="s">
        <v>1786</v>
      </c>
      <c r="D658" s="146">
        <v>1823</v>
      </c>
      <c r="E658" s="147" t="s">
        <v>20</v>
      </c>
      <c r="F658" s="146"/>
      <c r="G658" s="146" t="s">
        <v>1787</v>
      </c>
      <c r="H658" s="145" t="s">
        <v>1686</v>
      </c>
      <c r="I658" s="163" t="s">
        <v>1788</v>
      </c>
      <c r="J658" s="145" t="s">
        <v>1789</v>
      </c>
      <c r="K658" s="145"/>
      <c r="L658" s="76" t="str">
        <f>HYPERLINK("http:/kameyamarekihaku.jp/sisi/tuusiHP_next/kinsei/image/06/gi.htm?pf=2158zu019.JPG&amp;?pn=%E5%8D%97%E5%B4%8E%E8%AA%AD%E6%9B%B8%E5%A0%B4%E5%B9%B3%E9%9D%A2%E5%9B%B3","南崎読書場平面図（「蔡州君遺事」所収図より作成）")</f>
        <v>南崎読書場平面図（「蔡州君遺事」所収図より作成）</v>
      </c>
      <c r="M658" s="145"/>
      <c r="N658" s="32" t="s">
        <v>1790</v>
      </c>
      <c r="O658" s="32" t="s">
        <v>1791</v>
      </c>
      <c r="P658" s="33" t="str">
        <f t="shared" si="11"/>
        <v>亀山城と宿場／亀山城のつくり／西之丸</v>
      </c>
      <c r="Q658" s="17" t="str">
        <f>HYPERLINK("http:/kameyamarekihaku.jp/kako-tenji/4.html","第４回　テーマ展示 蔵書印から探る藩校　明倫舎の軌跡")</f>
        <v>第４回　テーマ展示 蔵書印から探る藩校　明倫舎の軌跡</v>
      </c>
      <c r="R658" s="160" t="s">
        <v>1792</v>
      </c>
    </row>
    <row r="659" spans="1:18" s="139" customFormat="1" ht="33.75" customHeight="1" x14ac:dyDescent="0.15">
      <c r="A659" s="136"/>
      <c r="B659" s="136"/>
      <c r="C659" s="137"/>
      <c r="D659" s="137"/>
      <c r="E659" s="138"/>
      <c r="F659" s="137"/>
      <c r="G659" s="137"/>
      <c r="H659" s="136"/>
      <c r="I659" s="165"/>
      <c r="J659" s="136"/>
      <c r="K659" s="136"/>
      <c r="L659" s="140" t="s">
        <v>1793</v>
      </c>
      <c r="M659" s="136"/>
      <c r="N659" s="19" t="s">
        <v>1696</v>
      </c>
      <c r="O659" s="19" t="s">
        <v>1697</v>
      </c>
      <c r="P659" s="20" t="str">
        <f t="shared" si="11"/>
        <v>日本の歴史の中の亀山／近世の亀山／新しい学問と化政文化／藩校明倫舎</v>
      </c>
      <c r="Q659" s="21" t="str">
        <f>HYPERLINK("http://www.kameyamarekihaku.jp/sisi/seckam3/chizushiro.php","市史考古分野(各コンテンツ)「亀山城跡を歩く」No.18")</f>
        <v>市史考古分野(各コンテンツ)「亀山城跡を歩く」No.18</v>
      </c>
      <c r="R659" s="79"/>
    </row>
    <row r="660" spans="1:18" s="139" customFormat="1" ht="30" customHeight="1" x14ac:dyDescent="0.15">
      <c r="A660" s="151"/>
      <c r="B660" s="151"/>
      <c r="C660" s="152"/>
      <c r="D660" s="152"/>
      <c r="E660" s="153"/>
      <c r="F660" s="152"/>
      <c r="G660" s="152"/>
      <c r="H660" s="151"/>
      <c r="I660" s="169"/>
      <c r="J660" s="151"/>
      <c r="K660" s="151"/>
      <c r="L660" s="156"/>
      <c r="M660" s="151"/>
      <c r="N660" s="29" t="s">
        <v>1794</v>
      </c>
      <c r="O660" s="29" t="s">
        <v>1700</v>
      </c>
      <c r="P660" s="30" t="str">
        <f t="shared" si="11"/>
        <v>学校のあゆみ／亀山城主石川家と家来の学校</v>
      </c>
      <c r="Q660" s="10"/>
      <c r="R660" s="157"/>
    </row>
    <row r="661" spans="1:18" s="139" customFormat="1" ht="30.75" customHeight="1" x14ac:dyDescent="0.15">
      <c r="A661" s="142" t="s">
        <v>1107</v>
      </c>
      <c r="B661" s="142">
        <v>19</v>
      </c>
      <c r="C661" s="143" t="s">
        <v>1795</v>
      </c>
      <c r="D661" s="143">
        <v>1825</v>
      </c>
      <c r="E661" s="144" t="s">
        <v>59</v>
      </c>
      <c r="F661" s="143" t="s">
        <v>1796</v>
      </c>
      <c r="G661" s="143"/>
      <c r="H661" s="142"/>
      <c r="I661" s="143"/>
      <c r="J661" s="142"/>
      <c r="K661" s="142"/>
      <c r="L661" s="142"/>
      <c r="M661" s="142"/>
      <c r="N661" s="12" t="s">
        <v>1797</v>
      </c>
      <c r="O661" s="12" t="s">
        <v>1798</v>
      </c>
      <c r="P661" s="13" t="str">
        <f t="shared" si="11"/>
        <v>日本の歴史の中の亀山／近世の亀山／外国船の出現と天保改革</v>
      </c>
      <c r="Q661" s="158"/>
      <c r="R661" s="142"/>
    </row>
    <row r="662" spans="1:18" s="139" customFormat="1" ht="13.15" customHeight="1" x14ac:dyDescent="0.15">
      <c r="A662" s="142" t="s">
        <v>1107</v>
      </c>
      <c r="B662" s="142">
        <v>19</v>
      </c>
      <c r="C662" s="143" t="s">
        <v>1795</v>
      </c>
      <c r="D662" s="143">
        <v>1825</v>
      </c>
      <c r="E662" s="144" t="s">
        <v>20</v>
      </c>
      <c r="F662" s="143"/>
      <c r="G662" s="143" t="s">
        <v>1799</v>
      </c>
      <c r="H662" s="142" t="s">
        <v>199</v>
      </c>
      <c r="I662" s="143" t="s">
        <v>1800</v>
      </c>
      <c r="J662" s="143" t="s">
        <v>1800</v>
      </c>
      <c r="K662" s="142" t="s">
        <v>1801</v>
      </c>
      <c r="L662" s="142"/>
      <c r="M662" s="142"/>
      <c r="N662" s="12"/>
      <c r="O662" s="12" t="e">
        <v>#VALUE!</v>
      </c>
      <c r="P662" s="13" t="str">
        <f t="shared" si="11"/>
        <v/>
      </c>
      <c r="Q662" s="213"/>
      <c r="R662" s="142" t="s">
        <v>1802</v>
      </c>
    </row>
    <row r="663" spans="1:18" s="139" customFormat="1" ht="33.75" customHeight="1" x14ac:dyDescent="0.15">
      <c r="A663" s="145" t="s">
        <v>1107</v>
      </c>
      <c r="B663" s="145">
        <v>19</v>
      </c>
      <c r="C663" s="146" t="s">
        <v>1803</v>
      </c>
      <c r="D663" s="146">
        <v>1826</v>
      </c>
      <c r="E663" s="147" t="s">
        <v>34</v>
      </c>
      <c r="F663" s="146"/>
      <c r="G663" s="345" t="s">
        <v>1804</v>
      </c>
      <c r="H663" s="145" t="s">
        <v>1805</v>
      </c>
      <c r="I663" s="146" t="s">
        <v>1806</v>
      </c>
      <c r="J663" s="145" t="s">
        <v>1807</v>
      </c>
      <c r="K663" s="145" t="s">
        <v>1808</v>
      </c>
      <c r="L663" s="145"/>
      <c r="M663" s="145"/>
      <c r="N663" s="34" t="s">
        <v>1236</v>
      </c>
      <c r="O663" s="34" t="s">
        <v>1212</v>
      </c>
      <c r="P663" s="35" t="str">
        <f t="shared" si="11"/>
        <v>古典に出てくる亀山／旅／江戸時代の旅人</v>
      </c>
      <c r="Q663" s="160"/>
      <c r="R663" s="145" t="s">
        <v>1809</v>
      </c>
    </row>
    <row r="664" spans="1:18" s="139" customFormat="1" ht="33.75" customHeight="1" x14ac:dyDescent="0.15">
      <c r="A664" s="151"/>
      <c r="B664" s="151"/>
      <c r="C664" s="152"/>
      <c r="D664" s="152"/>
      <c r="E664" s="153"/>
      <c r="F664" s="152"/>
      <c r="G664" s="353"/>
      <c r="H664" s="151"/>
      <c r="I664" s="152"/>
      <c r="J664" s="151"/>
      <c r="K664" s="151"/>
      <c r="L664" s="151"/>
      <c r="M664" s="151"/>
      <c r="N664" s="86" t="s">
        <v>1810</v>
      </c>
      <c r="O664" s="86" t="s">
        <v>1811</v>
      </c>
      <c r="P664" s="87" t="str">
        <f t="shared" si="11"/>
        <v>亀山のいいとこさがし／動物や植物／動物</v>
      </c>
      <c r="Q664" s="157"/>
      <c r="R664" s="151"/>
    </row>
    <row r="665" spans="1:18" s="139" customFormat="1" ht="90.75" customHeight="1" x14ac:dyDescent="0.15">
      <c r="A665" s="142" t="s">
        <v>1107</v>
      </c>
      <c r="B665" s="142">
        <v>19</v>
      </c>
      <c r="C665" s="143" t="s">
        <v>1812</v>
      </c>
      <c r="D665" s="143">
        <v>1828</v>
      </c>
      <c r="E665" s="144" t="s">
        <v>34</v>
      </c>
      <c r="F665" s="143"/>
      <c r="G665" s="143" t="s">
        <v>1813</v>
      </c>
      <c r="H665" s="142" t="s">
        <v>464</v>
      </c>
      <c r="I665" s="143"/>
      <c r="J665" s="142"/>
      <c r="K665" s="142" t="s">
        <v>1814</v>
      </c>
      <c r="L665" s="142" t="s">
        <v>1815</v>
      </c>
      <c r="M665" s="82" t="str">
        <f>HYPERLINK("http:/kameyamarekihaku.jp/sisi/koukoHP/archives/kamejyougennjyo/01/01-06/gi.html?pf=KJGNJY0106-06-007.JPG&amp;pn=%E6%A5%A0%E9%96%80%E8%B7%A1%E3%81%AE%E5%B1%B1%E5%B4%8E%E9%9B%AA%E6%9F%B3%E8%BB%92%E9%81%BA%E5%89%A3%E7%A2%91","楠門跡の山崎雪柳軒遺剣碑")</f>
        <v>楠門跡の山崎雪柳軒遺剣碑</v>
      </c>
      <c r="N665" s="81" t="s">
        <v>1816</v>
      </c>
      <c r="O665" s="23" t="s">
        <v>1817</v>
      </c>
      <c r="P665" s="24" t="str">
        <f t="shared" si="11"/>
        <v>亀山のいいとこさがし／人々がつたえてきたこと／技や仕事／心形刀流武芸形</v>
      </c>
      <c r="Q665" s="82" t="str">
        <f>HYPERLINK("http://www.kameyamarekihaku.jp/sisi/seckam3/chizushiro.php","市史考古分野(各コンテンツ)「亀山城跡を歩く」No.2")</f>
        <v>市史考古分野(各コンテンツ)「亀山城跡を歩く」No.2</v>
      </c>
      <c r="R665" s="142" t="s">
        <v>1818</v>
      </c>
    </row>
    <row r="666" spans="1:18" s="139" customFormat="1" ht="84.75" customHeight="1" x14ac:dyDescent="0.15">
      <c r="A666" s="142" t="s">
        <v>1107</v>
      </c>
      <c r="B666" s="142">
        <v>19</v>
      </c>
      <c r="C666" s="143" t="s">
        <v>1819</v>
      </c>
      <c r="D666" s="143">
        <v>1829</v>
      </c>
      <c r="E666" s="144" t="s">
        <v>34</v>
      </c>
      <c r="F666" s="143"/>
      <c r="G666" s="161" t="s">
        <v>1820</v>
      </c>
      <c r="H666" s="142"/>
      <c r="I666" s="143"/>
      <c r="J666" s="142"/>
      <c r="K666" s="142" t="s">
        <v>1821</v>
      </c>
      <c r="L666" s="142" t="s">
        <v>1822</v>
      </c>
      <c r="M666" s="142"/>
      <c r="N666" s="23"/>
      <c r="O666" s="23" t="e">
        <v>#VALUE!</v>
      </c>
      <c r="P666" s="24" t="str">
        <f t="shared" si="11"/>
        <v/>
      </c>
      <c r="Q666" s="25" t="str">
        <f>HYPERLINK("http:/kameyamarekihaku.jp/sisi/tuusiHP_next/tuusi-index.html#kinsei0602","市史通史編 近世第6章第2節第4項")</f>
        <v>市史通史編 近世第6章第2節第4項</v>
      </c>
      <c r="R666" s="142" t="s">
        <v>1823</v>
      </c>
    </row>
    <row r="667" spans="1:18" s="139" customFormat="1" ht="37.5" customHeight="1" x14ac:dyDescent="0.15">
      <c r="A667" s="142" t="s">
        <v>1107</v>
      </c>
      <c r="B667" s="142">
        <v>19</v>
      </c>
      <c r="C667" s="143" t="s">
        <v>1824</v>
      </c>
      <c r="D667" s="143">
        <v>1833</v>
      </c>
      <c r="E667" s="144" t="s">
        <v>20</v>
      </c>
      <c r="F667" s="143" t="s">
        <v>1825</v>
      </c>
      <c r="G667" s="143"/>
      <c r="H667" s="142"/>
      <c r="I667" s="143"/>
      <c r="J667" s="142"/>
      <c r="K667" s="142"/>
      <c r="L667" s="142"/>
      <c r="M667" s="142"/>
      <c r="N667" s="12" t="s">
        <v>1797</v>
      </c>
      <c r="O667" s="12" t="s">
        <v>1798</v>
      </c>
      <c r="P667" s="13" t="str">
        <f t="shared" si="11"/>
        <v>日本の歴史の中の亀山／近世の亀山／外国船の出現と天保改革</v>
      </c>
      <c r="Q667" s="158"/>
      <c r="R667" s="142"/>
    </row>
    <row r="668" spans="1:18" s="139" customFormat="1" ht="52.35" customHeight="1" x14ac:dyDescent="0.15">
      <c r="A668" s="142" t="s">
        <v>1107</v>
      </c>
      <c r="B668" s="142">
        <v>19</v>
      </c>
      <c r="C668" s="143" t="s">
        <v>1824</v>
      </c>
      <c r="D668" s="143">
        <v>1833</v>
      </c>
      <c r="E668" s="144" t="s">
        <v>20</v>
      </c>
      <c r="F668" s="143"/>
      <c r="G668" s="143" t="s">
        <v>1826</v>
      </c>
      <c r="H668" s="142"/>
      <c r="I668" s="143"/>
      <c r="J668" s="142" t="s">
        <v>1101</v>
      </c>
      <c r="K668" s="142" t="s">
        <v>1827</v>
      </c>
      <c r="L668" s="142"/>
      <c r="M668" s="142"/>
      <c r="N668" s="23"/>
      <c r="O668" s="23" t="e">
        <v>#VALUE!</v>
      </c>
      <c r="P668" s="24" t="str">
        <f t="shared" si="11"/>
        <v/>
      </c>
      <c r="Q668" s="25" t="str">
        <f>HYPERLINK("http:/kameyamarekihaku.jp/sisi/RekisiHP/kinsei/jousyu.html","市史近世ページ　亀山城主のうつりかわり")</f>
        <v>市史近世ページ　亀山城主のうつりかわり</v>
      </c>
      <c r="R668" s="142" t="s">
        <v>1595</v>
      </c>
    </row>
    <row r="669" spans="1:18" s="139" customFormat="1" ht="13.15" customHeight="1" x14ac:dyDescent="0.15">
      <c r="A669" s="142" t="s">
        <v>1107</v>
      </c>
      <c r="B669" s="142">
        <v>19</v>
      </c>
      <c r="C669" s="143" t="s">
        <v>1828</v>
      </c>
      <c r="D669" s="143">
        <v>1836</v>
      </c>
      <c r="E669" s="144" t="s">
        <v>20</v>
      </c>
      <c r="F669" s="143"/>
      <c r="G669" s="143" t="s">
        <v>1829</v>
      </c>
      <c r="H669" s="142" t="s">
        <v>1686</v>
      </c>
      <c r="I669" s="161" t="s">
        <v>1732</v>
      </c>
      <c r="J669" s="142" t="s">
        <v>1101</v>
      </c>
      <c r="K669" s="142"/>
      <c r="L669" s="142" t="s">
        <v>1830</v>
      </c>
      <c r="M669" s="142"/>
      <c r="N669" s="12"/>
      <c r="O669" s="12" t="e">
        <v>#VALUE!</v>
      </c>
      <c r="P669" s="13" t="str">
        <f t="shared" si="11"/>
        <v/>
      </c>
      <c r="Q669" s="158"/>
      <c r="R669" s="142"/>
    </row>
    <row r="670" spans="1:18" s="139" customFormat="1" ht="43.5" customHeight="1" x14ac:dyDescent="0.15">
      <c r="A670" s="142" t="s">
        <v>1107</v>
      </c>
      <c r="B670" s="142">
        <v>19</v>
      </c>
      <c r="C670" s="143" t="s">
        <v>1831</v>
      </c>
      <c r="D670" s="143">
        <v>1837</v>
      </c>
      <c r="E670" s="144" t="s">
        <v>20</v>
      </c>
      <c r="F670" s="143"/>
      <c r="G670" s="143" t="s">
        <v>1832</v>
      </c>
      <c r="H670" s="142" t="s">
        <v>464</v>
      </c>
      <c r="I670" s="143" t="s">
        <v>1833</v>
      </c>
      <c r="J670" s="142" t="s">
        <v>1834</v>
      </c>
      <c r="K670" s="142"/>
      <c r="L670" s="142"/>
      <c r="M670" s="142"/>
      <c r="N670" s="23"/>
      <c r="O670" s="23" t="e">
        <v>#VALUE!</v>
      </c>
      <c r="P670" s="24" t="str">
        <f t="shared" si="11"/>
        <v/>
      </c>
      <c r="Q670" s="25" t="str">
        <f>HYPERLINK("http:/kameyamarekihaku.jp/sisi/tuusiHP_next/tuusi-index.html#kinsei0502","市史通史編 近世第5章第2節第4項")</f>
        <v>市史通史編 近世第5章第2節第4項</v>
      </c>
      <c r="R670" s="142" t="s">
        <v>1835</v>
      </c>
    </row>
    <row r="671" spans="1:18" s="139" customFormat="1" ht="61.5" customHeight="1" x14ac:dyDescent="0.15">
      <c r="A671" s="145" t="s">
        <v>1107</v>
      </c>
      <c r="B671" s="145">
        <v>19</v>
      </c>
      <c r="C671" s="146" t="s">
        <v>1831</v>
      </c>
      <c r="D671" s="146">
        <v>1837</v>
      </c>
      <c r="E671" s="147" t="s">
        <v>20</v>
      </c>
      <c r="F671" s="146" t="s">
        <v>1836</v>
      </c>
      <c r="G671" s="146"/>
      <c r="H671" s="145"/>
      <c r="I671" s="146"/>
      <c r="J671" s="145"/>
      <c r="K671" s="145"/>
      <c r="L671" s="145" t="s">
        <v>1837</v>
      </c>
      <c r="M671" s="145"/>
      <c r="N671" s="32" t="s">
        <v>1838</v>
      </c>
      <c r="O671" s="32" t="s">
        <v>1839</v>
      </c>
      <c r="P671" s="33" t="str">
        <f t="shared" si="11"/>
        <v>日本の歴史の中の亀山／近世の亀山／外国船の出現と天保改革／手配された大塩平八郎</v>
      </c>
      <c r="Q671" s="182" t="str">
        <f>HYPERLINK("http://kameyamarekihaku.jp/raikan_demae/140314_kame_chu.html","亀中2年授業支援実践例「新しい学問と化政文化」")</f>
        <v>亀中2年授業支援実践例「新しい学問と化政文化」</v>
      </c>
      <c r="R671" s="145"/>
    </row>
    <row r="672" spans="1:18" s="139" customFormat="1" ht="22.5" customHeight="1" x14ac:dyDescent="0.15">
      <c r="A672" s="136"/>
      <c r="B672" s="136"/>
      <c r="C672" s="137"/>
      <c r="D672" s="137"/>
      <c r="E672" s="138"/>
      <c r="F672" s="137"/>
      <c r="G672" s="137"/>
      <c r="H672" s="136"/>
      <c r="I672" s="137"/>
      <c r="J672" s="136"/>
      <c r="K672" s="136"/>
      <c r="L672" s="136" t="s">
        <v>1840</v>
      </c>
      <c r="M672" s="136"/>
      <c r="N672" s="84"/>
      <c r="O672" s="84" t="e">
        <v>#VALUE!</v>
      </c>
      <c r="P672" s="85" t="str">
        <f t="shared" si="11"/>
        <v/>
      </c>
      <c r="Q672" s="79"/>
      <c r="R672" s="136"/>
    </row>
    <row r="673" spans="1:18" s="139" customFormat="1" ht="52.35" customHeight="1" x14ac:dyDescent="0.15">
      <c r="A673" s="142" t="s">
        <v>1107</v>
      </c>
      <c r="B673" s="142">
        <v>19</v>
      </c>
      <c r="C673" s="143" t="s">
        <v>1831</v>
      </c>
      <c r="D673" s="143">
        <v>1837</v>
      </c>
      <c r="E673" s="144" t="s">
        <v>20</v>
      </c>
      <c r="F673" s="143"/>
      <c r="G673" s="143" t="s">
        <v>1841</v>
      </c>
      <c r="H673" s="142"/>
      <c r="I673" s="143"/>
      <c r="J673" s="142"/>
      <c r="K673" s="142"/>
      <c r="L673" s="142"/>
      <c r="M673" s="142"/>
      <c r="N673" s="12"/>
      <c r="O673" s="12" t="e">
        <v>#VALUE!</v>
      </c>
      <c r="P673" s="13" t="str">
        <f t="shared" si="11"/>
        <v/>
      </c>
      <c r="Q673" s="158"/>
      <c r="R673" s="142"/>
    </row>
    <row r="674" spans="1:18" s="139" customFormat="1" ht="26.25" customHeight="1" x14ac:dyDescent="0.15">
      <c r="A674" s="142" t="s">
        <v>1107</v>
      </c>
      <c r="B674" s="142">
        <v>19</v>
      </c>
      <c r="C674" s="143" t="s">
        <v>1842</v>
      </c>
      <c r="D674" s="143">
        <v>1839</v>
      </c>
      <c r="E674" s="144" t="s">
        <v>20</v>
      </c>
      <c r="F674" s="143" t="s">
        <v>1843</v>
      </c>
      <c r="G674" s="143"/>
      <c r="H674" s="142"/>
      <c r="I674" s="143"/>
      <c r="J674" s="142"/>
      <c r="K674" s="142"/>
      <c r="L674" s="142"/>
      <c r="M674" s="142"/>
      <c r="N674" s="12"/>
      <c r="O674" s="12" t="e">
        <v>#VALUE!</v>
      </c>
      <c r="P674" s="13" t="str">
        <f t="shared" si="11"/>
        <v/>
      </c>
      <c r="Q674" s="158"/>
      <c r="R674" s="142"/>
    </row>
    <row r="675" spans="1:18" s="139" customFormat="1" ht="30" customHeight="1" x14ac:dyDescent="0.15">
      <c r="A675" s="142" t="s">
        <v>1107</v>
      </c>
      <c r="B675" s="142">
        <v>19</v>
      </c>
      <c r="C675" s="143" t="s">
        <v>1844</v>
      </c>
      <c r="D675" s="143">
        <v>1841</v>
      </c>
      <c r="E675" s="144" t="s">
        <v>20</v>
      </c>
      <c r="F675" s="143" t="s">
        <v>1845</v>
      </c>
      <c r="G675" s="143"/>
      <c r="H675" s="142"/>
      <c r="I675" s="143"/>
      <c r="J675" s="142"/>
      <c r="K675" s="142"/>
      <c r="L675" s="142"/>
      <c r="M675" s="142"/>
      <c r="N675" s="12" t="s">
        <v>1797</v>
      </c>
      <c r="O675" s="12" t="s">
        <v>1798</v>
      </c>
      <c r="P675" s="13" t="str">
        <f t="shared" si="11"/>
        <v>日本の歴史の中の亀山／近世の亀山／外国船の出現と天保改革</v>
      </c>
      <c r="Q675" s="158"/>
      <c r="R675" s="142"/>
    </row>
    <row r="676" spans="1:18" s="139" customFormat="1" ht="32.25" customHeight="1" x14ac:dyDescent="0.15">
      <c r="A676" s="145" t="s">
        <v>1107</v>
      </c>
      <c r="B676" s="145">
        <v>19</v>
      </c>
      <c r="C676" s="146" t="s">
        <v>1846</v>
      </c>
      <c r="D676" s="146">
        <v>1843</v>
      </c>
      <c r="E676" s="147" t="s">
        <v>20</v>
      </c>
      <c r="F676" s="146"/>
      <c r="G676" s="146" t="s">
        <v>1847</v>
      </c>
      <c r="H676" s="145" t="s">
        <v>464</v>
      </c>
      <c r="I676" s="146" t="s">
        <v>1848</v>
      </c>
      <c r="J676" s="145" t="s">
        <v>1101</v>
      </c>
      <c r="K676" s="145"/>
      <c r="L676" s="145" t="s">
        <v>1830</v>
      </c>
      <c r="M676" s="145"/>
      <c r="N676" s="42" t="s">
        <v>1849</v>
      </c>
      <c r="O676" s="19" t="s">
        <v>1850</v>
      </c>
      <c r="P676" s="20" t="str">
        <f t="shared" si="11"/>
        <v>亀山城と宿場／亀山城のつくり／塀</v>
      </c>
      <c r="Q676" s="76" t="str">
        <f>HYPERLINK("http://www.kameyamarekihaku.jp/sisi/seckam3/chizushiro.php","市史考古分野(各コンテンツ)「亀山城跡を歩く」")</f>
        <v>市史考古分野(各コンテンツ)「亀山城跡を歩く」</v>
      </c>
      <c r="R676" s="145"/>
    </row>
    <row r="677" spans="1:18" s="139" customFormat="1" ht="20.25" customHeight="1" x14ac:dyDescent="0.15">
      <c r="A677" s="136"/>
      <c r="B677" s="136"/>
      <c r="C677" s="137"/>
      <c r="D677" s="137"/>
      <c r="E677" s="138"/>
      <c r="F677" s="137"/>
      <c r="G677" s="137"/>
      <c r="H677" s="136"/>
      <c r="I677" s="137"/>
      <c r="J677" s="136"/>
      <c r="K677" s="136"/>
      <c r="L677" s="136"/>
      <c r="M677" s="136"/>
      <c r="N677" s="42" t="s">
        <v>1851</v>
      </c>
      <c r="O677" s="19" t="s">
        <v>1852</v>
      </c>
      <c r="P677" s="20" t="str">
        <f t="shared" si="11"/>
        <v>亀山城と宿場／亀山城のつくり／石垣</v>
      </c>
      <c r="Q677" s="76"/>
      <c r="R677" s="136"/>
    </row>
    <row r="678" spans="1:18" s="139" customFormat="1" ht="13.15" customHeight="1" x14ac:dyDescent="0.15">
      <c r="A678" s="142" t="s">
        <v>1107</v>
      </c>
      <c r="B678" s="142">
        <v>19</v>
      </c>
      <c r="C678" s="143" t="s">
        <v>1846</v>
      </c>
      <c r="D678" s="143">
        <v>1843</v>
      </c>
      <c r="E678" s="144" t="s">
        <v>20</v>
      </c>
      <c r="F678" s="143"/>
      <c r="G678" s="143" t="s">
        <v>1853</v>
      </c>
      <c r="H678" s="142" t="s">
        <v>199</v>
      </c>
      <c r="I678" s="143" t="s">
        <v>1854</v>
      </c>
      <c r="J678" s="142" t="s">
        <v>1855</v>
      </c>
      <c r="K678" s="142"/>
      <c r="L678" s="142" t="s">
        <v>1830</v>
      </c>
      <c r="M678" s="142"/>
      <c r="N678" s="12"/>
      <c r="O678" s="12" t="e">
        <v>#VALUE!</v>
      </c>
      <c r="P678" s="13" t="str">
        <f t="shared" si="11"/>
        <v/>
      </c>
      <c r="Q678" s="158"/>
      <c r="R678" s="142"/>
    </row>
    <row r="679" spans="1:18" s="139" customFormat="1" ht="13.15" customHeight="1" x14ac:dyDescent="0.15">
      <c r="A679" s="142" t="s">
        <v>1107</v>
      </c>
      <c r="B679" s="142">
        <v>19</v>
      </c>
      <c r="C679" s="143"/>
      <c r="D679" s="143"/>
      <c r="E679" s="144" t="s">
        <v>20</v>
      </c>
      <c r="F679" s="143" t="s">
        <v>1856</v>
      </c>
      <c r="G679" s="143"/>
      <c r="H679" s="142"/>
      <c r="I679" s="143"/>
      <c r="J679" s="142"/>
      <c r="K679" s="142"/>
      <c r="L679" s="142"/>
      <c r="M679" s="142"/>
      <c r="N679" s="12"/>
      <c r="O679" s="12" t="e">
        <v>#VALUE!</v>
      </c>
      <c r="P679" s="13" t="str">
        <f t="shared" si="11"/>
        <v/>
      </c>
      <c r="Q679" s="158"/>
      <c r="R679" s="142"/>
    </row>
    <row r="680" spans="1:18" s="139" customFormat="1" ht="36" customHeight="1" x14ac:dyDescent="0.15">
      <c r="A680" s="145" t="s">
        <v>1107</v>
      </c>
      <c r="B680" s="145">
        <v>19</v>
      </c>
      <c r="C680" s="146" t="s">
        <v>1857</v>
      </c>
      <c r="D680" s="146">
        <v>1853</v>
      </c>
      <c r="E680" s="147" t="s">
        <v>59</v>
      </c>
      <c r="F680" s="146" t="s">
        <v>1858</v>
      </c>
      <c r="G680" s="146"/>
      <c r="H680" s="145"/>
      <c r="I680" s="146"/>
      <c r="J680" s="145"/>
      <c r="K680" s="145"/>
      <c r="L680" s="71" t="str">
        <f>HYPERLINK("http://kameyamarekihaku.jp/rekisi-hiroba/perrypage/perry_thumb.html","『亜墨利加軍道並応接場絵図』（館蔵小林家文書）")</f>
        <v>『亜墨利加軍道並応接場絵図』（館蔵小林家文書）</v>
      </c>
      <c r="M680" s="145"/>
      <c r="N680" s="74" t="s">
        <v>1859</v>
      </c>
      <c r="O680" s="32" t="s">
        <v>1860</v>
      </c>
      <c r="P680" s="33" t="str">
        <f t="shared" si="11"/>
        <v>日本の歴史の中の亀山／近世の亀山／開国と不平等条約／ペリー来航</v>
      </c>
      <c r="Q680" s="71" t="str">
        <f>HYPERLINK("http://kameyamarekihaku.jp/rekisi-hiroba/perrypage/perry_top.html","歴史広場　亀山城主石川家伝来　嘉永七年ペリー来航図")</f>
        <v>歴史広場　亀山城主石川家伝来　嘉永七年ペリー来航図</v>
      </c>
      <c r="R680" s="347" t="s">
        <v>1861</v>
      </c>
    </row>
    <row r="681" spans="1:18" s="139" customFormat="1" ht="35.25" customHeight="1" x14ac:dyDescent="0.15">
      <c r="A681" s="136"/>
      <c r="B681" s="136"/>
      <c r="C681" s="137"/>
      <c r="D681" s="137"/>
      <c r="E681" s="138"/>
      <c r="F681" s="137"/>
      <c r="G681" s="137"/>
      <c r="H681" s="136"/>
      <c r="I681" s="137"/>
      <c r="J681" s="136"/>
      <c r="K681" s="136"/>
      <c r="L681" s="76" t="str">
        <f>HYPERLINK("http://kameyamarekihaku.jp/rekisi-hiroba/perrypage/perry_thumb.html#hakusin","『米利乾舶真図』（館蔵小林家文書）")</f>
        <v>『米利乾舶真図』（館蔵小林家文書）</v>
      </c>
      <c r="M681" s="136"/>
      <c r="N681" s="42"/>
      <c r="O681" s="19" t="e">
        <v>#VALUE!</v>
      </c>
      <c r="P681" s="20" t="str">
        <f t="shared" si="11"/>
        <v/>
      </c>
      <c r="Q681" s="214" t="str">
        <f>HYPERLINK("http://kameyamarekihaku.jp/raikan_demae/141002_idagawa_syo.html","井田川小6年授業支援「明治維新から世界の中の日本へ」")</f>
        <v>井田川小6年授業支援「明治維新から世界の中の日本へ」</v>
      </c>
      <c r="R681" s="332"/>
    </row>
    <row r="682" spans="1:18" s="139" customFormat="1" ht="73.5" customHeight="1" x14ac:dyDescent="0.15">
      <c r="A682" s="151"/>
      <c r="B682" s="151"/>
      <c r="C682" s="152"/>
      <c r="D682" s="152"/>
      <c r="E682" s="153"/>
      <c r="F682" s="152"/>
      <c r="G682" s="152"/>
      <c r="H682" s="151"/>
      <c r="I682" s="152"/>
      <c r="J682" s="151"/>
      <c r="K682" s="151"/>
      <c r="L682" s="118" t="s">
        <v>1862</v>
      </c>
      <c r="M682" s="151"/>
      <c r="N682" s="53"/>
      <c r="O682" s="29" t="e">
        <v>#VALUE!</v>
      </c>
      <c r="P682" s="30" t="str">
        <f t="shared" si="11"/>
        <v/>
      </c>
      <c r="Q682" s="215" t="str">
        <f>HYPERLINK("http://kameyamarekihaku.jp/yane_no_nai/jissen_rei/sekihi2410.html","関中2年授業支援実践例「近世から近代へ」")</f>
        <v>関中2年授業支援実践例「近世から近代へ」</v>
      </c>
      <c r="R682" s="157"/>
    </row>
    <row r="683" spans="1:18" s="139" customFormat="1" ht="46.5" customHeight="1" x14ac:dyDescent="0.15">
      <c r="A683" s="142" t="s">
        <v>1107</v>
      </c>
      <c r="B683" s="142">
        <v>19</v>
      </c>
      <c r="C683" s="143" t="s">
        <v>1857</v>
      </c>
      <c r="D683" s="143">
        <v>1853</v>
      </c>
      <c r="E683" s="144" t="s">
        <v>20</v>
      </c>
      <c r="F683" s="143"/>
      <c r="G683" s="143" t="s">
        <v>1863</v>
      </c>
      <c r="H683" s="142"/>
      <c r="I683" s="143"/>
      <c r="J683" s="142" t="s">
        <v>1086</v>
      </c>
      <c r="K683" s="142" t="s">
        <v>1864</v>
      </c>
      <c r="L683" s="216"/>
      <c r="M683" s="142"/>
      <c r="N683" s="23"/>
      <c r="O683" s="23" t="e">
        <v>#VALUE!</v>
      </c>
      <c r="P683" s="24" t="str">
        <f t="shared" si="11"/>
        <v/>
      </c>
      <c r="Q683" s="25" t="str">
        <f>HYPERLINK("http:/kameyamarekihaku.jp/sisi/RekisiHP/kinsei/jousyu.html","市史近世ページ　亀山城主のうつりかわり")</f>
        <v>市史近世ページ　亀山城主のうつりかわり</v>
      </c>
      <c r="R683" s="142" t="s">
        <v>1595</v>
      </c>
    </row>
    <row r="684" spans="1:18" s="139" customFormat="1" ht="13.15" customHeight="1" x14ac:dyDescent="0.15">
      <c r="A684" s="142" t="s">
        <v>1107</v>
      </c>
      <c r="B684" s="142">
        <v>19</v>
      </c>
      <c r="C684" s="143" t="s">
        <v>1865</v>
      </c>
      <c r="D684" s="143">
        <v>1854</v>
      </c>
      <c r="E684" s="144" t="s">
        <v>59</v>
      </c>
      <c r="F684" s="143" t="s">
        <v>1866</v>
      </c>
      <c r="G684" s="143"/>
      <c r="H684" s="142"/>
      <c r="I684" s="143"/>
      <c r="J684" s="142"/>
      <c r="K684" s="142"/>
      <c r="L684" s="142"/>
      <c r="M684" s="142"/>
      <c r="N684" s="12"/>
      <c r="O684" s="12" t="e">
        <v>#VALUE!</v>
      </c>
      <c r="P684" s="13" t="str">
        <f t="shared" si="11"/>
        <v/>
      </c>
      <c r="Q684" s="158"/>
      <c r="R684" s="142"/>
    </row>
    <row r="685" spans="1:18" s="139" customFormat="1" ht="33.75" customHeight="1" x14ac:dyDescent="0.15">
      <c r="A685" s="145" t="s">
        <v>1107</v>
      </c>
      <c r="B685" s="145">
        <v>19</v>
      </c>
      <c r="C685" s="146" t="s">
        <v>1865</v>
      </c>
      <c r="D685" s="146">
        <v>1854</v>
      </c>
      <c r="E685" s="147" t="s">
        <v>20</v>
      </c>
      <c r="F685" s="146"/>
      <c r="G685" s="345" t="s">
        <v>1867</v>
      </c>
      <c r="H685" s="145" t="s">
        <v>1633</v>
      </c>
      <c r="I685" s="146"/>
      <c r="J685" s="145" t="s">
        <v>1868</v>
      </c>
      <c r="K685" s="145"/>
      <c r="L685" s="145" t="s">
        <v>1869</v>
      </c>
      <c r="M685" s="145" t="s">
        <v>1870</v>
      </c>
      <c r="N685" s="32" t="s">
        <v>1871</v>
      </c>
      <c r="O685" s="32" t="s">
        <v>836</v>
      </c>
      <c r="P685" s="33" t="str">
        <f t="shared" si="11"/>
        <v>亀山のむかしばなし／こわいはなし／大地震の話／亀山の大地震</v>
      </c>
      <c r="Q685" s="17" t="str">
        <f>HYPERLINK("http:/kameyamarekihaku.jp/sisi/tuusiHP_next/tuusi-index.html#kinsei0502","市史通史編 近世第5章第2節第4項")</f>
        <v>市史通史編 近世第5章第2節第4項</v>
      </c>
      <c r="R685" s="145" t="s">
        <v>1872</v>
      </c>
    </row>
    <row r="686" spans="1:18" s="139" customFormat="1" ht="19.5" customHeight="1" x14ac:dyDescent="0.15">
      <c r="A686" s="136"/>
      <c r="B686" s="136"/>
      <c r="C686" s="137"/>
      <c r="D686" s="137"/>
      <c r="E686" s="138"/>
      <c r="F686" s="137"/>
      <c r="G686" s="346"/>
      <c r="H686" s="136"/>
      <c r="I686" s="137"/>
      <c r="J686" s="136"/>
      <c r="K686" s="136"/>
      <c r="L686" s="136"/>
      <c r="M686" s="136"/>
      <c r="N686" s="19" t="s">
        <v>1873</v>
      </c>
      <c r="O686" s="19" t="s">
        <v>1874</v>
      </c>
      <c r="P686" s="20" t="str">
        <f t="shared" si="11"/>
        <v>亀山城と宿場／亀山城のつくり／櫓</v>
      </c>
      <c r="Q686" s="338" t="str">
        <f>HYPERLINK("http://www.kameyamarekihaku.jp/sisi/seckam3/chizushiro.php","市史考古分野(各コンテンツ)「亀山城跡を歩く」")</f>
        <v>市史考古分野(各コンテンツ)「亀山城跡を歩く」</v>
      </c>
      <c r="R686" s="136"/>
    </row>
    <row r="687" spans="1:18" s="139" customFormat="1" ht="21.75" customHeight="1" x14ac:dyDescent="0.15">
      <c r="A687" s="136"/>
      <c r="B687" s="136"/>
      <c r="C687" s="137"/>
      <c r="D687" s="137"/>
      <c r="E687" s="138"/>
      <c r="F687" s="137"/>
      <c r="G687" s="346"/>
      <c r="H687" s="136"/>
      <c r="I687" s="137"/>
      <c r="J687" s="136"/>
      <c r="K687" s="136"/>
      <c r="L687" s="136"/>
      <c r="M687" s="136"/>
      <c r="N687" s="42" t="s">
        <v>1875</v>
      </c>
      <c r="O687" s="19" t="s">
        <v>1876</v>
      </c>
      <c r="P687" s="20" t="str">
        <f t="shared" si="11"/>
        <v>亀山城と宿場／亀山城のつくり／門</v>
      </c>
      <c r="Q687" s="338"/>
      <c r="R687" s="136"/>
    </row>
    <row r="688" spans="1:18" s="139" customFormat="1" ht="29.25" customHeight="1" x14ac:dyDescent="0.15">
      <c r="A688" s="136"/>
      <c r="B688" s="136"/>
      <c r="C688" s="137"/>
      <c r="D688" s="137"/>
      <c r="E688" s="138"/>
      <c r="F688" s="137"/>
      <c r="G688" s="141"/>
      <c r="H688" s="136"/>
      <c r="I688" s="137"/>
      <c r="J688" s="136"/>
      <c r="K688" s="136"/>
      <c r="L688" s="136"/>
      <c r="M688" s="136"/>
      <c r="N688" s="42" t="s">
        <v>1877</v>
      </c>
      <c r="O688" s="19" t="s">
        <v>1878</v>
      </c>
      <c r="P688" s="20" t="str">
        <f t="shared" si="11"/>
        <v>日本の歴史の中の亀山／近世の亀山／開国と不平等条約／安政の大地震</v>
      </c>
      <c r="Q688" s="76"/>
      <c r="R688" s="136"/>
    </row>
    <row r="689" spans="1:18" s="139" customFormat="1" ht="30.75" customHeight="1" x14ac:dyDescent="0.15">
      <c r="A689" s="145" t="s">
        <v>1107</v>
      </c>
      <c r="B689" s="145">
        <v>19</v>
      </c>
      <c r="C689" s="146" t="s">
        <v>1879</v>
      </c>
      <c r="D689" s="146">
        <v>1856</v>
      </c>
      <c r="E689" s="147" t="s">
        <v>34</v>
      </c>
      <c r="F689" s="146"/>
      <c r="G689" s="146" t="s">
        <v>1880</v>
      </c>
      <c r="H689" s="145" t="s">
        <v>468</v>
      </c>
      <c r="I689" s="146" t="s">
        <v>1674</v>
      </c>
      <c r="J689" s="145"/>
      <c r="K689" s="145" t="s">
        <v>1881</v>
      </c>
      <c r="L689" s="145" t="s">
        <v>1882</v>
      </c>
      <c r="M689" s="71" t="str">
        <f>HYPERLINK("http://kameyamarekihaku.jp/sisi/koukoHP/archives/kamejyougennjyo/01/01-01/gi.html?pf=KJGNJY0101-01-051.JPG&amp;pn=%E9%A3%AF%E6%B2%BC%E6%85%BE%E6%96%8E%E7%94%9F%E5%AE%B6%E8%B7%A1","飯沼慾斎生家跡標柱")</f>
        <v>飯沼慾斎生家跡標柱</v>
      </c>
      <c r="N689" s="32"/>
      <c r="O689" s="32" t="e">
        <v>#VALUE!</v>
      </c>
      <c r="P689" s="33" t="str">
        <f t="shared" si="11"/>
        <v/>
      </c>
      <c r="Q689" s="17" t="str">
        <f>HYPERLINK("http:/kameyamarekihaku.jp/sisi/tuusiHP_next/tuusi-index.html#kinsei0602","市史通史編 近世第6章第2節第4項")</f>
        <v>市史通史編 近世第6章第2節第4項</v>
      </c>
      <c r="R689" s="347" t="s">
        <v>1883</v>
      </c>
    </row>
    <row r="690" spans="1:18" s="139" customFormat="1" ht="32.25" customHeight="1" x14ac:dyDescent="0.15">
      <c r="A690" s="151"/>
      <c r="B690" s="151"/>
      <c r="C690" s="152"/>
      <c r="D690" s="152"/>
      <c r="E690" s="153"/>
      <c r="F690" s="152"/>
      <c r="G690" s="152"/>
      <c r="H690" s="151"/>
      <c r="I690" s="152"/>
      <c r="J690" s="151"/>
      <c r="K690" s="151"/>
      <c r="L690" s="151"/>
      <c r="M690" s="151"/>
      <c r="N690" s="29"/>
      <c r="O690" s="29" t="e">
        <v>#VALUE!</v>
      </c>
      <c r="P690" s="30" t="str">
        <f t="shared" si="11"/>
        <v/>
      </c>
      <c r="Q690" s="10" t="str">
        <f>HYPERLINK("http://www.kameyamarekihaku.jp/sisi/seckam3/chizukouko.php","市史考古分野(各コンテンツ)「亀山城下町を歩く」No.41")</f>
        <v>市史考古分野(各コンテンツ)「亀山城下町を歩く」No.41</v>
      </c>
      <c r="R690" s="348"/>
    </row>
    <row r="691" spans="1:18" s="139" customFormat="1" ht="32.25" customHeight="1" x14ac:dyDescent="0.15">
      <c r="A691" s="142" t="s">
        <v>1107</v>
      </c>
      <c r="B691" s="142">
        <v>19</v>
      </c>
      <c r="C691" s="143" t="s">
        <v>1884</v>
      </c>
      <c r="D691" s="143">
        <v>1858</v>
      </c>
      <c r="E691" s="144" t="s">
        <v>59</v>
      </c>
      <c r="F691" s="143" t="s">
        <v>1885</v>
      </c>
      <c r="G691" s="143"/>
      <c r="H691" s="142"/>
      <c r="I691" s="143"/>
      <c r="J691" s="142"/>
      <c r="K691" s="142"/>
      <c r="L691" s="142" t="s">
        <v>1886</v>
      </c>
      <c r="M691" s="142"/>
      <c r="N691" s="12" t="s">
        <v>1887</v>
      </c>
      <c r="O691" s="12" t="s">
        <v>1888</v>
      </c>
      <c r="P691" s="13" t="str">
        <f t="shared" si="11"/>
        <v>日本の歴史の中の亀山／近世の亀山／開国と不平等条約</v>
      </c>
      <c r="Q691" s="158"/>
      <c r="R691" s="142"/>
    </row>
    <row r="692" spans="1:18" s="139" customFormat="1" ht="35.25" customHeight="1" x14ac:dyDescent="0.15">
      <c r="A692" s="142" t="s">
        <v>1107</v>
      </c>
      <c r="B692" s="142">
        <v>19</v>
      </c>
      <c r="C692" s="143"/>
      <c r="D692" s="143"/>
      <c r="E692" s="144" t="s">
        <v>20</v>
      </c>
      <c r="F692" s="143" t="s">
        <v>1889</v>
      </c>
      <c r="G692" s="143"/>
      <c r="H692" s="142"/>
      <c r="I692" s="143"/>
      <c r="J692" s="142"/>
      <c r="K692" s="142"/>
      <c r="L692" s="142"/>
      <c r="M692" s="142"/>
      <c r="N692" s="12" t="s">
        <v>1890</v>
      </c>
      <c r="O692" s="12" t="s">
        <v>1891</v>
      </c>
      <c r="P692" s="13" t="str">
        <f t="shared" si="11"/>
        <v>日本の歴史の中の亀山／近世の亀山／江戸幕府の滅亡／尊皇攘夷の高まり</v>
      </c>
      <c r="Q692" s="158"/>
      <c r="R692" s="142"/>
    </row>
    <row r="693" spans="1:18" s="139" customFormat="1" ht="31.5" customHeight="1" x14ac:dyDescent="0.15">
      <c r="A693" s="142" t="s">
        <v>1107</v>
      </c>
      <c r="B693" s="142">
        <v>19</v>
      </c>
      <c r="C693" s="143" t="s">
        <v>1892</v>
      </c>
      <c r="D693" s="143">
        <v>1859</v>
      </c>
      <c r="E693" s="144" t="s">
        <v>20</v>
      </c>
      <c r="F693" s="143" t="s">
        <v>1893</v>
      </c>
      <c r="G693" s="143"/>
      <c r="H693" s="142"/>
      <c r="I693" s="143"/>
      <c r="J693" s="142"/>
      <c r="K693" s="142"/>
      <c r="L693" s="142"/>
      <c r="M693" s="142"/>
      <c r="N693" s="12" t="s">
        <v>1894</v>
      </c>
      <c r="O693" s="12" t="s">
        <v>1891</v>
      </c>
      <c r="P693" s="13" t="str">
        <f t="shared" si="11"/>
        <v>日本の歴史の中の亀山／近世の亀山／江戸幕府の滅亡／尊皇攘夷の高まり</v>
      </c>
      <c r="Q693" s="158"/>
      <c r="R693" s="142"/>
    </row>
    <row r="694" spans="1:18" s="139" customFormat="1" ht="28.5" customHeight="1" x14ac:dyDescent="0.15">
      <c r="A694" s="142" t="s">
        <v>1107</v>
      </c>
      <c r="B694" s="142">
        <v>19</v>
      </c>
      <c r="C694" s="143" t="s">
        <v>1895</v>
      </c>
      <c r="D694" s="143">
        <v>1860</v>
      </c>
      <c r="E694" s="144" t="s">
        <v>851</v>
      </c>
      <c r="F694" s="143" t="s">
        <v>1896</v>
      </c>
      <c r="G694" s="143"/>
      <c r="H694" s="142"/>
      <c r="I694" s="143"/>
      <c r="J694" s="142"/>
      <c r="K694" s="142"/>
      <c r="L694" s="142"/>
      <c r="M694" s="142"/>
      <c r="N694" s="12" t="s">
        <v>1894</v>
      </c>
      <c r="O694" s="12" t="s">
        <v>1891</v>
      </c>
      <c r="P694" s="13" t="str">
        <f t="shared" si="11"/>
        <v>日本の歴史の中の亀山／近世の亀山／江戸幕府の滅亡／尊皇攘夷の高まり</v>
      </c>
      <c r="Q694" s="158"/>
      <c r="R694" s="142"/>
    </row>
    <row r="695" spans="1:18" s="139" customFormat="1" ht="18" customHeight="1" x14ac:dyDescent="0.15">
      <c r="A695" s="142" t="s">
        <v>1107</v>
      </c>
      <c r="B695" s="142">
        <v>19</v>
      </c>
      <c r="C695" s="143" t="s">
        <v>1895</v>
      </c>
      <c r="D695" s="143">
        <v>1860</v>
      </c>
      <c r="E695" s="144" t="s">
        <v>851</v>
      </c>
      <c r="F695" s="143"/>
      <c r="G695" s="143" t="s">
        <v>1897</v>
      </c>
      <c r="H695" s="142" t="s">
        <v>199</v>
      </c>
      <c r="I695" s="143" t="s">
        <v>1898</v>
      </c>
      <c r="J695" s="142" t="s">
        <v>1899</v>
      </c>
      <c r="K695" s="142"/>
      <c r="L695" s="142"/>
      <c r="M695" s="142"/>
      <c r="N695" s="23"/>
      <c r="O695" s="23" t="e">
        <v>#VALUE!</v>
      </c>
      <c r="P695" s="24" t="str">
        <f t="shared" si="11"/>
        <v/>
      </c>
      <c r="Q695" s="25"/>
      <c r="R695" s="142" t="s">
        <v>1900</v>
      </c>
    </row>
    <row r="696" spans="1:18" s="139" customFormat="1" ht="48" customHeight="1" x14ac:dyDescent="0.15">
      <c r="A696" s="120" t="s">
        <v>1107</v>
      </c>
      <c r="B696" s="120">
        <v>19</v>
      </c>
      <c r="C696" s="175" t="s">
        <v>1901</v>
      </c>
      <c r="D696" s="175">
        <v>1861</v>
      </c>
      <c r="E696" s="144" t="s">
        <v>34</v>
      </c>
      <c r="F696" s="175"/>
      <c r="G696" s="175" t="s">
        <v>1902</v>
      </c>
      <c r="H696" s="120" t="s">
        <v>464</v>
      </c>
      <c r="I696" s="175"/>
      <c r="J696" s="120" t="s">
        <v>1903</v>
      </c>
      <c r="K696" s="120" t="s">
        <v>1904</v>
      </c>
      <c r="L696" s="120"/>
      <c r="M696" s="120"/>
      <c r="N696" s="12" t="s">
        <v>1236</v>
      </c>
      <c r="O696" s="12" t="s">
        <v>1212</v>
      </c>
      <c r="P696" s="13" t="str">
        <f t="shared" si="11"/>
        <v>古典に出てくる亀山／旅／江戸時代の旅人</v>
      </c>
      <c r="Q696" s="192"/>
      <c r="R696" s="120" t="s">
        <v>1905</v>
      </c>
    </row>
    <row r="697" spans="1:18" s="139" customFormat="1" ht="52.35" customHeight="1" x14ac:dyDescent="0.15">
      <c r="A697" s="142" t="s">
        <v>1107</v>
      </c>
      <c r="B697" s="142">
        <v>19</v>
      </c>
      <c r="C697" s="143" t="s">
        <v>1906</v>
      </c>
      <c r="D697" s="143">
        <v>1862</v>
      </c>
      <c r="E697" s="144" t="s">
        <v>851</v>
      </c>
      <c r="F697" s="143"/>
      <c r="G697" s="143" t="s">
        <v>1907</v>
      </c>
      <c r="H697" s="142"/>
      <c r="I697" s="143"/>
      <c r="J697" s="142" t="s">
        <v>1086</v>
      </c>
      <c r="K697" s="142" t="s">
        <v>1908</v>
      </c>
      <c r="L697" s="142"/>
      <c r="M697" s="142"/>
      <c r="N697" s="23" t="s">
        <v>1741</v>
      </c>
      <c r="O697" s="23" t="s">
        <v>1620</v>
      </c>
      <c r="P697" s="24" t="str">
        <f t="shared" si="11"/>
        <v>亀山城と宿場／江戸時代の亀山城主／石川総慶・総堯・総純・総博・総師・総佐・総安・総惠・総禄・総脩・成之</v>
      </c>
      <c r="Q697" s="25" t="str">
        <f>HYPERLINK("http:/kameyamarekihaku.jp/sisi/RekisiHP/kinsei/jousyu.html","市史近世ページ　亀山城主のうつりかわり")</f>
        <v>市史近世ページ　亀山城主のうつりかわり</v>
      </c>
      <c r="R697" s="142" t="s">
        <v>1595</v>
      </c>
    </row>
    <row r="698" spans="1:18" s="139" customFormat="1" ht="30.75" customHeight="1" x14ac:dyDescent="0.15">
      <c r="A698" s="145" t="s">
        <v>1107</v>
      </c>
      <c r="B698" s="145">
        <v>19</v>
      </c>
      <c r="C698" s="146" t="s">
        <v>1909</v>
      </c>
      <c r="D698" s="146">
        <v>1863</v>
      </c>
      <c r="E698" s="147" t="s">
        <v>851</v>
      </c>
      <c r="F698" s="146"/>
      <c r="G698" s="345" t="s">
        <v>1910</v>
      </c>
      <c r="H698" s="145" t="s">
        <v>464</v>
      </c>
      <c r="I698" s="163" t="s">
        <v>1911</v>
      </c>
      <c r="J698" s="145" t="s">
        <v>1912</v>
      </c>
      <c r="K698" s="145" t="s">
        <v>1913</v>
      </c>
      <c r="L698" s="347" t="s">
        <v>1914</v>
      </c>
      <c r="M698" s="17" t="str">
        <f>HYPERLINK("http://kameyamarekihaku.jp/sisi/koukoHP/archives/kamejyougennjyo/01/01-01/gi.html?pf=KJGNJY0101-01-015.JPG&amp;pn=%E6%A8%8B%E5%8F%A3%E6%9C%AC%E9%99%A3%E8%B7%A1","樋口本陣跡(現在)")</f>
        <v>樋口本陣跡(現在)</v>
      </c>
      <c r="N698" s="32" t="s">
        <v>1248</v>
      </c>
      <c r="O698" s="32" t="s">
        <v>923</v>
      </c>
      <c r="P698" s="33" t="str">
        <f t="shared" si="11"/>
        <v>むかしの道と交通／亀山の近世の道</v>
      </c>
      <c r="Q698" s="21" t="str">
        <f>HYPERLINK("http:/kameyamarekihaku.jp/sisi/tuusiHP_next/tuusi-index.html#kinsei0401","市史通史編 近世第4章第1節第4項")</f>
        <v>市史通史編 近世第4章第1節第4項</v>
      </c>
      <c r="R698" s="347" t="s">
        <v>1915</v>
      </c>
    </row>
    <row r="699" spans="1:18" s="139" customFormat="1" ht="33.75" customHeight="1" x14ac:dyDescent="0.15">
      <c r="A699" s="136"/>
      <c r="B699" s="136"/>
      <c r="C699" s="137"/>
      <c r="D699" s="137"/>
      <c r="E699" s="138"/>
      <c r="F699" s="137"/>
      <c r="G699" s="346"/>
      <c r="H699" s="136"/>
      <c r="I699" s="165"/>
      <c r="J699" s="136"/>
      <c r="K699" s="136"/>
      <c r="L699" s="332"/>
      <c r="M699" s="136"/>
      <c r="N699" s="19" t="s">
        <v>1916</v>
      </c>
      <c r="O699" s="19" t="s">
        <v>1747</v>
      </c>
      <c r="P699" s="20" t="str">
        <f t="shared" si="11"/>
        <v>亀山城と宿場／４つの宿場／城下町の宿場 亀山宿</v>
      </c>
      <c r="Q699" s="21" t="str">
        <f>HYPERLINK("http://kameyamarekihaku.jp/21theme/zone4-kaido/zone4-kaido_top.html","過去の常設展示『亀山宿問屋若林家』")</f>
        <v>過去の常設展示『亀山宿問屋若林家』</v>
      </c>
      <c r="R699" s="332"/>
    </row>
    <row r="700" spans="1:18" s="208" customFormat="1" ht="33.75" customHeight="1" x14ac:dyDescent="0.15">
      <c r="A700" s="151"/>
      <c r="B700" s="151"/>
      <c r="C700" s="152"/>
      <c r="D700" s="152"/>
      <c r="E700" s="153"/>
      <c r="F700" s="152"/>
      <c r="G700" s="154"/>
      <c r="H700" s="151"/>
      <c r="I700" s="169"/>
      <c r="J700" s="151"/>
      <c r="K700" s="151"/>
      <c r="L700" s="157"/>
      <c r="M700" s="151"/>
      <c r="N700" s="29"/>
      <c r="O700" s="29" t="e">
        <v>#VALUE!</v>
      </c>
      <c r="P700" s="30" t="str">
        <f t="shared" si="11"/>
        <v/>
      </c>
      <c r="Q700" s="10" t="str">
        <f>HYPERLINK("http://www.kameyamarekihaku.jp/sisi/seckam3/chizukouko.php","市史考古分野(各コンテンツ)「亀山城下町を歩く」")</f>
        <v>市史考古分野(各コンテンツ)「亀山城下町を歩く」</v>
      </c>
      <c r="R700" s="157"/>
    </row>
    <row r="701" spans="1:18" s="139" customFormat="1" ht="35.25" customHeight="1" x14ac:dyDescent="0.15">
      <c r="A701" s="142" t="s">
        <v>1107</v>
      </c>
      <c r="B701" s="142">
        <v>19</v>
      </c>
      <c r="C701" s="143" t="s">
        <v>1909</v>
      </c>
      <c r="D701" s="143">
        <v>1863</v>
      </c>
      <c r="E701" s="144" t="s">
        <v>851</v>
      </c>
      <c r="F701" s="143"/>
      <c r="G701" s="143" t="s">
        <v>1917</v>
      </c>
      <c r="H701" s="142" t="s">
        <v>1766</v>
      </c>
      <c r="I701" s="143" t="s">
        <v>1848</v>
      </c>
      <c r="J701" s="142" t="s">
        <v>1918</v>
      </c>
      <c r="K701" s="142"/>
      <c r="L701" s="142" t="s">
        <v>1919</v>
      </c>
      <c r="M701" s="142"/>
      <c r="N701" s="29" t="s">
        <v>1920</v>
      </c>
      <c r="O701" s="29" t="s">
        <v>1852</v>
      </c>
      <c r="P701" s="30" t="str">
        <f t="shared" si="11"/>
        <v>亀山城と宿場／亀山城のつくり／石垣</v>
      </c>
      <c r="Q701" s="10" t="str">
        <f>HYPERLINK("http://www.kameyamarekihaku.jp/sisi/seckam3/chizushiro.php","市史考古分野(各コンテンツ)「亀山城跡を歩く」No.42")</f>
        <v>市史考古分野(各コンテンツ)「亀山城跡を歩く」No.42</v>
      </c>
      <c r="R701" s="142" t="s">
        <v>1154</v>
      </c>
    </row>
    <row r="702" spans="1:18" s="139" customFormat="1" ht="31.5" customHeight="1" x14ac:dyDescent="0.15">
      <c r="A702" s="142" t="s">
        <v>1107</v>
      </c>
      <c r="B702" s="142">
        <v>19</v>
      </c>
      <c r="C702" s="143" t="s">
        <v>1921</v>
      </c>
      <c r="D702" s="143">
        <v>1864</v>
      </c>
      <c r="E702" s="144" t="s">
        <v>20</v>
      </c>
      <c r="F702" s="143" t="s">
        <v>1922</v>
      </c>
      <c r="G702" s="143"/>
      <c r="H702" s="142"/>
      <c r="I702" s="143"/>
      <c r="J702" s="142"/>
      <c r="K702" s="142"/>
      <c r="L702" s="142"/>
      <c r="M702" s="142"/>
      <c r="N702" s="23" t="s">
        <v>1923</v>
      </c>
      <c r="O702" s="23" t="s">
        <v>1891</v>
      </c>
      <c r="P702" s="24" t="str">
        <f t="shared" si="11"/>
        <v>日本の歴史の中の亀山／近世の亀山／江戸幕府の滅亡／尊皇攘夷の高まり</v>
      </c>
      <c r="Q702" s="25" t="str">
        <f>HYPERLINK("http:/kameyamarekihaku.jp/sisi/tuusiHP_next/tuusi-index.html#kinsei0302","市史通史編 近世第3章第2節第1項")</f>
        <v>市史通史編 近世第3章第2節第1項</v>
      </c>
      <c r="R702" s="142" t="s">
        <v>1127</v>
      </c>
    </row>
    <row r="703" spans="1:18" s="139" customFormat="1" ht="62.25" customHeight="1" x14ac:dyDescent="0.15">
      <c r="A703" s="142" t="s">
        <v>1107</v>
      </c>
      <c r="B703" s="142">
        <v>19</v>
      </c>
      <c r="C703" s="143" t="s">
        <v>1924</v>
      </c>
      <c r="D703" s="143">
        <v>1865</v>
      </c>
      <c r="E703" s="144" t="s">
        <v>1925</v>
      </c>
      <c r="F703" s="143"/>
      <c r="G703" s="143" t="s">
        <v>1926</v>
      </c>
      <c r="H703" s="142"/>
      <c r="I703" s="143"/>
      <c r="J703" s="142" t="s">
        <v>1101</v>
      </c>
      <c r="K703" s="142" t="s">
        <v>1927</v>
      </c>
      <c r="L703" s="142"/>
      <c r="M703" s="142"/>
      <c r="N703" s="23" t="s">
        <v>1928</v>
      </c>
      <c r="O703" s="23" t="s">
        <v>1620</v>
      </c>
      <c r="P703" s="24" t="str">
        <f t="shared" si="11"/>
        <v>亀山城と宿場／江戸時代の亀山城主／石川総慶・総堯・総純・総博・総師・総佐・総安・総惠・総禄・総脩・成之</v>
      </c>
      <c r="Q703" s="25" t="str">
        <f>HYPERLINK("http:/kameyamarekihaku.jp/sisi/RekisiHP/kinsei/jousyu.html","市史近世ページ　亀山城主のうつりかわり")</f>
        <v>市史近世ページ　亀山城主のうつりかわり</v>
      </c>
      <c r="R703" s="142" t="s">
        <v>1595</v>
      </c>
    </row>
    <row r="704" spans="1:18" s="139" customFormat="1" ht="44.25" customHeight="1" x14ac:dyDescent="0.15">
      <c r="A704" s="145" t="s">
        <v>1107</v>
      </c>
      <c r="B704" s="145">
        <v>19</v>
      </c>
      <c r="C704" s="146" t="s">
        <v>1924</v>
      </c>
      <c r="D704" s="146">
        <v>1865</v>
      </c>
      <c r="E704" s="147" t="s">
        <v>34</v>
      </c>
      <c r="F704" s="146"/>
      <c r="G704" s="146" t="s">
        <v>1929</v>
      </c>
      <c r="H704" s="145" t="s">
        <v>468</v>
      </c>
      <c r="I704" s="146" t="s">
        <v>947</v>
      </c>
      <c r="J704" s="145" t="s">
        <v>1930</v>
      </c>
      <c r="K704" s="145" t="s">
        <v>1931</v>
      </c>
      <c r="L704" s="145" t="s">
        <v>1932</v>
      </c>
      <c r="M704" s="17" t="str">
        <f>HYPERLINK("http:/kameyamarekihaku.jp/sisi/koukoHP/archives/kamejyougennjyo/01/01-06/gi.html?pf=KJGNJY0106-06-007.JPG&amp;pn=%E6%A5%A0%E9%96%80%E8%B7%A1%E3%81%AE%E5%B1%B1%E5%B4%8E%E9%9B%AA%E6%9F%B3%E8%BB%92%E9%81%BA%E5%89%A3%E7%A2%91","楠門跡の山崎雪柳軒遺剣碑")</f>
        <v>楠門跡の山崎雪柳軒遺剣碑</v>
      </c>
      <c r="N704" s="19" t="s">
        <v>1933</v>
      </c>
      <c r="O704" s="19" t="s">
        <v>1817</v>
      </c>
      <c r="P704" s="20" t="str">
        <f t="shared" si="11"/>
        <v>亀山のいいとこさがし／人々がつたえてきたこと／技や仕事／心形刀流武芸形</v>
      </c>
      <c r="Q704" s="28" t="str">
        <f>HYPERLINK("http://kameyamarekihaku.jp/raikan_demae/140213_nishi.html","西小6年授業支援実践例「『心形刀流』の学習に亀山演武場に行きました」")</f>
        <v>西小6年授業支援実践例「『心形刀流』の学習に亀山演武場に行きました」</v>
      </c>
      <c r="R704" s="347" t="s">
        <v>1934</v>
      </c>
    </row>
    <row r="705" spans="1:18" s="208" customFormat="1" ht="58.5" customHeight="1" x14ac:dyDescent="0.15">
      <c r="A705" s="151"/>
      <c r="B705" s="151"/>
      <c r="C705" s="152"/>
      <c r="D705" s="152"/>
      <c r="E705" s="153"/>
      <c r="F705" s="152"/>
      <c r="G705" s="152"/>
      <c r="H705" s="151"/>
      <c r="I705" s="152"/>
      <c r="J705" s="151"/>
      <c r="K705" s="151"/>
      <c r="L705" s="151"/>
      <c r="M705" s="151" t="s">
        <v>1935</v>
      </c>
      <c r="N705" s="29"/>
      <c r="O705" s="29" t="e">
        <v>#VALUE!</v>
      </c>
      <c r="P705" s="30" t="str">
        <f t="shared" si="11"/>
        <v/>
      </c>
      <c r="Q705" s="31" t="str">
        <f>HYPERLINK("http://kameyamarekihaku.jp/raikan_demae/140620_nisi_syo.html","西小6年地域素材の教材化実践例「亀山の史跡を知ろう」")</f>
        <v>西小6年地域素材の教材化実践例「亀山の史跡を知ろう」</v>
      </c>
      <c r="R705" s="348"/>
    </row>
    <row r="706" spans="1:18" s="139" customFormat="1" ht="30" customHeight="1" x14ac:dyDescent="0.15">
      <c r="A706" s="142" t="s">
        <v>1107</v>
      </c>
      <c r="B706" s="142">
        <v>19</v>
      </c>
      <c r="C706" s="143" t="s">
        <v>1936</v>
      </c>
      <c r="D706" s="143">
        <v>1866</v>
      </c>
      <c r="E706" s="144" t="s">
        <v>20</v>
      </c>
      <c r="F706" s="143" t="s">
        <v>1937</v>
      </c>
      <c r="G706" s="143"/>
      <c r="H706" s="142"/>
      <c r="I706" s="143"/>
      <c r="J706" s="142"/>
      <c r="K706" s="142"/>
      <c r="L706" s="142"/>
      <c r="M706" s="142"/>
      <c r="N706" s="12"/>
      <c r="O706" s="12" t="e">
        <v>#VALUE!</v>
      </c>
      <c r="P706" s="13" t="str">
        <f t="shared" si="11"/>
        <v/>
      </c>
      <c r="Q706" s="158"/>
      <c r="R706" s="142"/>
    </row>
    <row r="707" spans="1:18" s="139" customFormat="1" ht="15.75" customHeight="1" x14ac:dyDescent="0.15">
      <c r="A707" s="142" t="s">
        <v>1107</v>
      </c>
      <c r="B707" s="142">
        <v>19</v>
      </c>
      <c r="C707" s="143" t="s">
        <v>1936</v>
      </c>
      <c r="D707" s="143">
        <v>1866</v>
      </c>
      <c r="E707" s="144" t="s">
        <v>20</v>
      </c>
      <c r="F707" s="143" t="s">
        <v>1938</v>
      </c>
      <c r="G707" s="143"/>
      <c r="H707" s="142"/>
      <c r="I707" s="143"/>
      <c r="J707" s="142"/>
      <c r="K707" s="142"/>
      <c r="L707" s="142"/>
      <c r="M707" s="142"/>
      <c r="N707" s="23"/>
      <c r="O707" s="23" t="e">
        <v>#VALUE!</v>
      </c>
      <c r="P707" s="24" t="str">
        <f t="shared" si="11"/>
        <v/>
      </c>
      <c r="Q707" s="25" t="str">
        <f>HYPERLINK("http:/kameyamarekihaku.jp/sisi/tuusiHP_next/tuusi-index.html#kinsei0302","市史通史編 近世第3章第2節第2項")</f>
        <v>市史通史編 近世第3章第2節第2項</v>
      </c>
      <c r="R707" s="142" t="s">
        <v>1127</v>
      </c>
    </row>
    <row r="708" spans="1:18" s="6" customFormat="1" ht="33" customHeight="1" x14ac:dyDescent="0.15">
      <c r="A708" s="120" t="s">
        <v>1107</v>
      </c>
      <c r="B708" s="120">
        <v>19</v>
      </c>
      <c r="C708" s="175" t="s">
        <v>1939</v>
      </c>
      <c r="D708" s="175">
        <v>1867</v>
      </c>
      <c r="E708" s="144" t="s">
        <v>20</v>
      </c>
      <c r="F708" s="175"/>
      <c r="G708" s="175" t="s">
        <v>1940</v>
      </c>
      <c r="H708" s="120"/>
      <c r="I708" s="175"/>
      <c r="J708" s="120"/>
      <c r="K708" s="120" t="s">
        <v>1941</v>
      </c>
      <c r="L708" s="120"/>
      <c r="M708" s="120"/>
      <c r="N708" s="12" t="s">
        <v>1236</v>
      </c>
      <c r="O708" s="12" t="s">
        <v>1212</v>
      </c>
      <c r="P708" s="13" t="str">
        <f t="shared" si="11"/>
        <v>古典に出てくる亀山／旅／江戸時代の旅人</v>
      </c>
      <c r="Q708" s="192"/>
      <c r="R708" s="120" t="s">
        <v>1942</v>
      </c>
    </row>
    <row r="709" spans="1:18" s="6" customFormat="1" ht="26.25" customHeight="1" x14ac:dyDescent="0.15">
      <c r="A709" s="142" t="s">
        <v>1107</v>
      </c>
      <c r="B709" s="142">
        <v>19</v>
      </c>
      <c r="C709" s="143" t="s">
        <v>1939</v>
      </c>
      <c r="D709" s="143">
        <v>1867</v>
      </c>
      <c r="E709" s="144" t="s">
        <v>20</v>
      </c>
      <c r="F709" s="143" t="s">
        <v>1943</v>
      </c>
      <c r="G709" s="175"/>
      <c r="H709" s="120"/>
      <c r="I709" s="175"/>
      <c r="J709" s="120"/>
      <c r="K709" s="120"/>
      <c r="L709" s="120"/>
      <c r="M709" s="120"/>
      <c r="N709" s="12"/>
      <c r="O709" s="12" t="e">
        <v>#VALUE!</v>
      </c>
      <c r="P709" s="13" t="str">
        <f t="shared" ref="P709:P772" si="12">IFERROR(HYPERLINK(O709,N709),"")</f>
        <v/>
      </c>
      <c r="Q709" s="192"/>
      <c r="R709" s="120"/>
    </row>
    <row r="710" spans="1:18" s="139" customFormat="1" ht="30" customHeight="1" x14ac:dyDescent="0.15">
      <c r="A710" s="142" t="s">
        <v>1107</v>
      </c>
      <c r="B710" s="142">
        <v>19</v>
      </c>
      <c r="C710" s="143" t="s">
        <v>1939</v>
      </c>
      <c r="D710" s="143">
        <v>1867</v>
      </c>
      <c r="E710" s="144" t="s">
        <v>20</v>
      </c>
      <c r="F710" s="143"/>
      <c r="G710" s="143" t="s">
        <v>1944</v>
      </c>
      <c r="H710" s="142"/>
      <c r="I710" s="143"/>
      <c r="J710" s="142"/>
      <c r="K710" s="142"/>
      <c r="L710" s="142" t="s">
        <v>1945</v>
      </c>
      <c r="M710" s="142"/>
      <c r="N710" s="23" t="s">
        <v>1946</v>
      </c>
      <c r="O710" s="23" t="s">
        <v>1947</v>
      </c>
      <c r="P710" s="24" t="str">
        <f t="shared" si="12"/>
        <v>日本の歴史の中の亀山／近世の亀山／江戸幕府の滅亡／助郷一揆</v>
      </c>
      <c r="Q710" s="25" t="str">
        <f>HYPERLINK("http:/kameyamarekihaku.jp/sisi/tuusiHP_next/tuusi-index.html#kinsei0302","市史通史編 近世第3章第2節第2項")</f>
        <v>市史通史編 近世第3章第2節第2項</v>
      </c>
      <c r="R710" s="142" t="s">
        <v>1948</v>
      </c>
    </row>
    <row r="711" spans="1:18" s="139" customFormat="1" ht="26.25" customHeight="1" x14ac:dyDescent="0.15">
      <c r="A711" s="142" t="s">
        <v>1107</v>
      </c>
      <c r="B711" s="142">
        <v>19</v>
      </c>
      <c r="C711" s="143" t="s">
        <v>1939</v>
      </c>
      <c r="D711" s="143">
        <v>1867</v>
      </c>
      <c r="E711" s="144" t="s">
        <v>20</v>
      </c>
      <c r="F711" s="143"/>
      <c r="G711" s="143" t="s">
        <v>1949</v>
      </c>
      <c r="H711" s="142" t="s">
        <v>250</v>
      </c>
      <c r="I711" s="143" t="s">
        <v>1950</v>
      </c>
      <c r="J711" s="142"/>
      <c r="K711" s="142"/>
      <c r="L711" s="142"/>
      <c r="M711" s="142"/>
      <c r="N711" s="12"/>
      <c r="O711" s="12" t="e">
        <v>#VALUE!</v>
      </c>
      <c r="P711" s="13" t="str">
        <f t="shared" si="12"/>
        <v/>
      </c>
      <c r="Q711" s="158"/>
      <c r="R711" s="142" t="s">
        <v>1951</v>
      </c>
    </row>
    <row r="712" spans="1:18" s="139" customFormat="1" ht="27" customHeight="1" x14ac:dyDescent="0.15">
      <c r="A712" s="142" t="s">
        <v>1952</v>
      </c>
      <c r="B712" s="142">
        <v>19</v>
      </c>
      <c r="C712" s="143"/>
      <c r="D712" s="143"/>
      <c r="E712" s="144" t="s">
        <v>20</v>
      </c>
      <c r="F712" s="143" t="s">
        <v>1953</v>
      </c>
      <c r="G712" s="143"/>
      <c r="H712" s="142"/>
      <c r="I712" s="143"/>
      <c r="J712" s="142"/>
      <c r="K712" s="142"/>
      <c r="L712" s="142"/>
      <c r="M712" s="142"/>
      <c r="N712" s="12" t="s">
        <v>1954</v>
      </c>
      <c r="O712" s="12" t="s">
        <v>1955</v>
      </c>
      <c r="P712" s="13" t="str">
        <f t="shared" si="12"/>
        <v>日本の歴史の中の亀山／近代の亀山／明治維新と亀山</v>
      </c>
      <c r="Q712" s="158"/>
      <c r="R712" s="142"/>
    </row>
    <row r="713" spans="1:18" s="139" customFormat="1" ht="24" customHeight="1" x14ac:dyDescent="0.15">
      <c r="A713" s="145" t="s">
        <v>1952</v>
      </c>
      <c r="B713" s="145">
        <v>19</v>
      </c>
      <c r="C713" s="146" t="s">
        <v>1956</v>
      </c>
      <c r="D713" s="146">
        <v>1868</v>
      </c>
      <c r="E713" s="147" t="s">
        <v>20</v>
      </c>
      <c r="F713" s="146" t="s">
        <v>1957</v>
      </c>
      <c r="G713" s="345" t="s">
        <v>1958</v>
      </c>
      <c r="H713" s="145" t="s">
        <v>464</v>
      </c>
      <c r="I713" s="146" t="s">
        <v>1959</v>
      </c>
      <c r="J713" s="145" t="s">
        <v>1960</v>
      </c>
      <c r="K713" s="145" t="s">
        <v>1961</v>
      </c>
      <c r="L713" s="145"/>
      <c r="M713" s="160" t="s">
        <v>1962</v>
      </c>
      <c r="N713" s="32"/>
      <c r="O713" s="32" t="e">
        <v>#VALUE!</v>
      </c>
      <c r="P713" s="33" t="str">
        <f t="shared" si="12"/>
        <v/>
      </c>
      <c r="Q713" s="337" t="str">
        <f>HYPERLINK("http://www.kameyamarekihaku.jp/sisi/seckam3/chizukouko.php","市史考古分野(各コンテンツ)「亀山城下町を歩く」No.25")</f>
        <v>市史考古分野(各コンテンツ)「亀山城下町を歩く」No.25</v>
      </c>
      <c r="R713" s="347" t="s">
        <v>1963</v>
      </c>
    </row>
    <row r="714" spans="1:18" s="139" customFormat="1" ht="35.25" customHeight="1" x14ac:dyDescent="0.15">
      <c r="A714" s="151"/>
      <c r="B714" s="151"/>
      <c r="C714" s="152"/>
      <c r="D714" s="152"/>
      <c r="E714" s="153"/>
      <c r="F714" s="152"/>
      <c r="G714" s="353"/>
      <c r="H714" s="151"/>
      <c r="I714" s="152"/>
      <c r="J714" s="151"/>
      <c r="K714" s="151"/>
      <c r="L714" s="151"/>
      <c r="M714" s="102" t="str">
        <f>HYPERLINK("http:/kameyamarekihaku.jp/sisi/koukoHP/archives/kamejyougennjyo/01/01-06/gi.html?pf=KJGNJY0106-06-006.JPG&amp;pn=%E6%A5%A0%E9%96%80%E8%84%87%E6%AB%93%E8%B7%A1%E3%81%AE%E9%BB%92%E7%94%B0%E5%AD%9D%E5%AF%8C%E9%A1%95%E5%BD%B0%E7%A2%91","黒田孝富顕彰碑")</f>
        <v>黒田孝富顕彰碑</v>
      </c>
      <c r="N714" s="29"/>
      <c r="O714" s="29" t="e">
        <v>#VALUE!</v>
      </c>
      <c r="P714" s="30" t="str">
        <f t="shared" si="12"/>
        <v/>
      </c>
      <c r="Q714" s="339"/>
      <c r="R714" s="348"/>
    </row>
    <row r="715" spans="1:18" s="139" customFormat="1" ht="30" customHeight="1" x14ac:dyDescent="0.15">
      <c r="A715" s="145" t="s">
        <v>1952</v>
      </c>
      <c r="B715" s="145">
        <v>19</v>
      </c>
      <c r="C715" s="345" t="s">
        <v>1956</v>
      </c>
      <c r="D715" s="146">
        <v>1868</v>
      </c>
      <c r="E715" s="147" t="s">
        <v>20</v>
      </c>
      <c r="F715" s="146"/>
      <c r="G715" s="345" t="s">
        <v>1964</v>
      </c>
      <c r="H715" s="145" t="s">
        <v>1965</v>
      </c>
      <c r="I715" s="362" t="s">
        <v>1966</v>
      </c>
      <c r="J715" s="347" t="s">
        <v>1967</v>
      </c>
      <c r="K715" s="347" t="s">
        <v>1968</v>
      </c>
      <c r="L715" s="71" t="str">
        <f>HYPERLINK("http://kameyamarekihaku.jp/sisi/tuusiHP_next/kingendai/image/09/gi.htm?pf=3095sh009-07.JPG&amp;?pn=%E6%98%8E%E6%B2%BB%E5%A4%A9%E7%9A%87%E9%96%A2%E8%A1%8C%E5%9C%A8%E6%89%80%EF%BC%88%E5%8F%A4%E5%86%99%E7%9C%9F%EF%BC%89","画像史料：明治天皇関行在所（古写真）")</f>
        <v>画像史料：明治天皇関行在所（古写真）</v>
      </c>
      <c r="M715" s="145"/>
      <c r="N715" s="32" t="s">
        <v>1969</v>
      </c>
      <c r="O715" s="32" t="s">
        <v>1970</v>
      </c>
      <c r="P715" s="33" t="str">
        <f t="shared" si="12"/>
        <v>むかしの道と交通／亀山の近世の道／本陣・脇本陣</v>
      </c>
      <c r="Q715" s="17" t="str">
        <f>HYPERLINK("http:/kameyamarekihaku.jp/sisi/RekisiHP/kingendai/quiz/meisho.kyuusho/meishou.html","市史近代・現代ページ 遺跡・名勝クイズ")</f>
        <v>市史近代・現代ページ 遺跡・名勝クイズ</v>
      </c>
      <c r="R715" s="347" t="s">
        <v>1971</v>
      </c>
    </row>
    <row r="716" spans="1:18" s="139" customFormat="1" ht="42.75" customHeight="1" x14ac:dyDescent="0.15">
      <c r="A716" s="136"/>
      <c r="B716" s="136"/>
      <c r="C716" s="346"/>
      <c r="D716" s="137"/>
      <c r="E716" s="138"/>
      <c r="F716" s="137"/>
      <c r="G716" s="346"/>
      <c r="H716" s="136"/>
      <c r="I716" s="363"/>
      <c r="J716" s="332"/>
      <c r="K716" s="332"/>
      <c r="L716" s="76"/>
      <c r="M716" s="136"/>
      <c r="N716" s="19" t="s">
        <v>1972</v>
      </c>
      <c r="O716" s="19" t="s">
        <v>1973</v>
      </c>
      <c r="P716" s="20" t="str">
        <f t="shared" si="12"/>
        <v>日本の歴史の中の亀山／近世の亀山／新政府の成立／明治元年の行幸と鈴鹿峠の警衛</v>
      </c>
      <c r="Q716" s="21" t="str">
        <f>HYPERLINK("http://kameyamarekihaku.jp/22theme/zone5/shousai.html","過去の常設展示『関本陣・問屋の家〜川北家』")</f>
        <v>過去の常設展示『関本陣・問屋の家〜川北家』</v>
      </c>
      <c r="R716" s="332"/>
    </row>
    <row r="717" spans="1:18" s="139" customFormat="1" ht="44.25" customHeight="1" x14ac:dyDescent="0.15">
      <c r="A717" s="136"/>
      <c r="B717" s="136"/>
      <c r="C717" s="141"/>
      <c r="D717" s="137"/>
      <c r="E717" s="138"/>
      <c r="F717" s="137"/>
      <c r="G717" s="346"/>
      <c r="H717" s="136"/>
      <c r="I717" s="150"/>
      <c r="J717" s="79"/>
      <c r="K717" s="332"/>
      <c r="L717" s="76"/>
      <c r="M717" s="136"/>
      <c r="N717" s="19" t="s">
        <v>1974</v>
      </c>
      <c r="O717" s="19" t="s">
        <v>1975</v>
      </c>
      <c r="P717" s="20" t="str">
        <f t="shared" si="12"/>
        <v>亀山のいいとこさがし／景色のよいところや歴史を知る手掛かりとなるもの／山／名勝</v>
      </c>
      <c r="Q717" s="21"/>
      <c r="R717" s="79"/>
    </row>
    <row r="718" spans="1:18" s="139" customFormat="1" ht="45.75" customHeight="1" x14ac:dyDescent="0.15">
      <c r="A718" s="136"/>
      <c r="B718" s="136"/>
      <c r="C718" s="141"/>
      <c r="D718" s="137"/>
      <c r="E718" s="138"/>
      <c r="F718" s="137"/>
      <c r="G718" s="141"/>
      <c r="H718" s="136"/>
      <c r="I718" s="150"/>
      <c r="J718" s="79"/>
      <c r="K718" s="79"/>
      <c r="L718" s="76"/>
      <c r="M718" s="136"/>
      <c r="N718" s="19" t="s">
        <v>1976</v>
      </c>
      <c r="O718" s="19" t="s">
        <v>1977</v>
      </c>
      <c r="P718" s="20" t="str">
        <f t="shared" si="12"/>
        <v>亀山のいいとこさがし／景色のよいところや歴史を知る手掛かりとなるもの／関宿のまちなみ／中町のまちなみ／川北本陣跡</v>
      </c>
      <c r="Q718" s="21"/>
      <c r="R718" s="79"/>
    </row>
    <row r="719" spans="1:18" s="139" customFormat="1" ht="45.75" customHeight="1" x14ac:dyDescent="0.15">
      <c r="A719" s="151"/>
      <c r="B719" s="151"/>
      <c r="C719" s="154"/>
      <c r="D719" s="152"/>
      <c r="E719" s="153"/>
      <c r="F719" s="152"/>
      <c r="G719" s="154"/>
      <c r="H719" s="151"/>
      <c r="I719" s="155"/>
      <c r="J719" s="157"/>
      <c r="K719" s="157"/>
      <c r="L719" s="102"/>
      <c r="M719" s="151"/>
      <c r="N719" s="29" t="s">
        <v>1978</v>
      </c>
      <c r="O719" s="29" t="s">
        <v>1979</v>
      </c>
      <c r="P719" s="30" t="str">
        <f t="shared" si="12"/>
        <v>亀山のいいとこさがし／景色のよいところや歴史を知る手掛かりとなるもの／関宿のまちなみ／木崎のまちなみ／関神社</v>
      </c>
      <c r="Q719" s="10"/>
      <c r="R719" s="157"/>
    </row>
    <row r="720" spans="1:18" s="139" customFormat="1" ht="39.4" customHeight="1" x14ac:dyDescent="0.15">
      <c r="A720" s="145" t="s">
        <v>1952</v>
      </c>
      <c r="B720" s="145">
        <v>19</v>
      </c>
      <c r="C720" s="146" t="s">
        <v>1956</v>
      </c>
      <c r="D720" s="146">
        <v>1868</v>
      </c>
      <c r="E720" s="147" t="s">
        <v>20</v>
      </c>
      <c r="F720" s="146" t="s">
        <v>1980</v>
      </c>
      <c r="G720" s="146"/>
      <c r="H720" s="145"/>
      <c r="I720" s="146"/>
      <c r="J720" s="145"/>
      <c r="K720" s="145"/>
      <c r="L720" s="145"/>
      <c r="M720" s="145"/>
      <c r="N720" s="32" t="s">
        <v>1981</v>
      </c>
      <c r="O720" s="32" t="s">
        <v>1982</v>
      </c>
      <c r="P720" s="33" t="str">
        <f t="shared" si="12"/>
        <v>日本の歴史の中の亀山／近世の亀山／新政府の成立</v>
      </c>
      <c r="Q720" s="17" t="str">
        <f>HYPERLINK("http://kameyamarekihaku.jp/22theme/zone4-3/shousai.html","過去の常設展示『川合村に掲げられていた高札』")</f>
        <v>過去の常設展示『川合村に掲げられていた高札』</v>
      </c>
      <c r="R720" s="145"/>
    </row>
    <row r="721" spans="1:18" s="139" customFormat="1" ht="39.4" customHeight="1" x14ac:dyDescent="0.15">
      <c r="A721" s="151"/>
      <c r="B721" s="151"/>
      <c r="C721" s="152"/>
      <c r="D721" s="152"/>
      <c r="E721" s="153"/>
      <c r="F721" s="152"/>
      <c r="G721" s="152"/>
      <c r="H721" s="151"/>
      <c r="I721" s="152"/>
      <c r="J721" s="151"/>
      <c r="K721" s="151"/>
      <c r="L721" s="151"/>
      <c r="M721" s="151"/>
      <c r="N721" s="29"/>
      <c r="O721" s="29" t="e">
        <v>#VALUE!</v>
      </c>
      <c r="P721" s="30" t="str">
        <f t="shared" si="12"/>
        <v/>
      </c>
      <c r="Q721" s="10" t="str">
        <f>HYPERLINK("http://www.kameyamarekihaku.jp/sisi/seckam3/chizukouko.php","市史考古分野(各コンテンツ)「亀山城下町を歩く」No.26")</f>
        <v>市史考古分野(各コンテンツ)「亀山城下町を歩く」No.26</v>
      </c>
      <c r="R721" s="151"/>
    </row>
    <row r="722" spans="1:18" s="139" customFormat="1" ht="39.4" customHeight="1" x14ac:dyDescent="0.15">
      <c r="A722" s="142" t="s">
        <v>1952</v>
      </c>
      <c r="B722" s="142">
        <v>19</v>
      </c>
      <c r="C722" s="143" t="s">
        <v>1956</v>
      </c>
      <c r="D722" s="143">
        <v>1868</v>
      </c>
      <c r="E722" s="144" t="s">
        <v>20</v>
      </c>
      <c r="F722" s="143"/>
      <c r="G722" s="143" t="s">
        <v>1983</v>
      </c>
      <c r="H722" s="142" t="s">
        <v>28</v>
      </c>
      <c r="I722" s="143" t="s">
        <v>1984</v>
      </c>
      <c r="J722" s="142"/>
      <c r="K722" s="142"/>
      <c r="L722" s="142"/>
      <c r="M722" s="142"/>
      <c r="N722" s="12"/>
      <c r="O722" s="12" t="e">
        <v>#VALUE!</v>
      </c>
      <c r="P722" s="13" t="str">
        <f t="shared" si="12"/>
        <v/>
      </c>
      <c r="Q722" s="158"/>
      <c r="R722" s="142"/>
    </row>
    <row r="723" spans="1:18" s="139" customFormat="1" ht="57" customHeight="1" x14ac:dyDescent="0.15">
      <c r="A723" s="136" t="s">
        <v>1952</v>
      </c>
      <c r="B723" s="136">
        <v>19</v>
      </c>
      <c r="C723" s="137" t="s">
        <v>1985</v>
      </c>
      <c r="D723" s="137">
        <v>1869</v>
      </c>
      <c r="E723" s="138" t="s">
        <v>20</v>
      </c>
      <c r="F723" s="137"/>
      <c r="G723" s="137" t="s">
        <v>1986</v>
      </c>
      <c r="H723" s="136" t="s">
        <v>199</v>
      </c>
      <c r="I723" s="137"/>
      <c r="J723" s="217" t="s">
        <v>1987</v>
      </c>
      <c r="K723" s="136" t="s">
        <v>1988</v>
      </c>
      <c r="L723" s="76" t="str">
        <f>HYPERLINK("http://kameyamarekihaku.jp/sisi/tuusiHP_next/kingendai/image/09/gi.htm?pf=3095sh009-07.JPG&amp;?pn=%E6%98%8E%E6%B2%BB%E5%A4%A9%E7%9A%87%E9%96%A2%E8%A1%8C%E5%9C%A8%E6%89%80%EF%BC%88%E5%8F%A4%E5%86%99%E7%9C%9F%EF%BC%89","明治天皇関行在所（古写真）")</f>
        <v>明治天皇関行在所（古写真）</v>
      </c>
      <c r="M723" s="136"/>
      <c r="N723" s="84" t="s">
        <v>1989</v>
      </c>
      <c r="O723" s="84" t="s">
        <v>1977</v>
      </c>
      <c r="P723" s="85" t="str">
        <f t="shared" si="12"/>
        <v>亀山のいいとこさがし／景色のよいところや歴史を知る手掛かりとなるもの／関宿のまちなみ／中町のまちなみ／川北本陣跡</v>
      </c>
      <c r="Q723" s="79"/>
      <c r="R723" s="160" t="s">
        <v>1990</v>
      </c>
    </row>
    <row r="724" spans="1:18" s="139" customFormat="1" ht="58.5" customHeight="1" x14ac:dyDescent="0.15">
      <c r="A724" s="145" t="s">
        <v>1952</v>
      </c>
      <c r="B724" s="145">
        <v>19</v>
      </c>
      <c r="C724" s="146" t="s">
        <v>1985</v>
      </c>
      <c r="D724" s="146">
        <v>1869</v>
      </c>
      <c r="E724" s="147" t="s">
        <v>20</v>
      </c>
      <c r="F724" s="146" t="s">
        <v>1991</v>
      </c>
      <c r="G724" s="345" t="s">
        <v>1992</v>
      </c>
      <c r="H724" s="145" t="s">
        <v>1993</v>
      </c>
      <c r="I724" s="146"/>
      <c r="J724" s="145"/>
      <c r="K724" s="145"/>
      <c r="L724" s="117" t="s">
        <v>1994</v>
      </c>
      <c r="M724" s="145"/>
      <c r="N724" s="32" t="s">
        <v>1995</v>
      </c>
      <c r="O724" s="32" t="s">
        <v>1996</v>
      </c>
      <c r="P724" s="33" t="str">
        <f t="shared" si="12"/>
        <v>亀山城と宿場／亀山城のおわりから文化財の亀山城へ</v>
      </c>
      <c r="Q724" s="17" t="str">
        <f>HYPERLINK("http:/kameyamarekihaku.jp/sisi/tuusiHP_next/tuusi-index.html#kingendai0101","市史通史編 近代現代第1章第1節第1項")</f>
        <v>市史通史編 近代現代第1章第1節第1項</v>
      </c>
      <c r="R724" s="347" t="s">
        <v>1997</v>
      </c>
    </row>
    <row r="725" spans="1:18" s="139" customFormat="1" ht="27.75" customHeight="1" x14ac:dyDescent="0.15">
      <c r="A725" s="136"/>
      <c r="B725" s="136"/>
      <c r="C725" s="137"/>
      <c r="D725" s="137"/>
      <c r="E725" s="138"/>
      <c r="F725" s="137"/>
      <c r="G725" s="346"/>
      <c r="H725" s="136"/>
      <c r="I725" s="137"/>
      <c r="J725" s="136"/>
      <c r="K725" s="136"/>
      <c r="L725" s="331" t="s">
        <v>1998</v>
      </c>
      <c r="M725" s="136"/>
      <c r="N725" s="317" t="s">
        <v>1999</v>
      </c>
      <c r="O725" s="317" t="s">
        <v>2000</v>
      </c>
      <c r="P725" s="318" t="str">
        <f t="shared" si="12"/>
        <v>日本の歴史の中の亀山／近世の亀山／新政府の成立／明治二年藩知事の任命</v>
      </c>
      <c r="Q725" s="28" t="str">
        <f>HYPERLINK("http://kameyamarekihaku.jp/yane_no_nai/131206_hiru_syo.html","昼生小6年出前授業実践例「明治・大正時代の亀山」")</f>
        <v>昼生小6年出前授業実践例「明治・大正時代の亀山」</v>
      </c>
      <c r="R725" s="332"/>
    </row>
    <row r="726" spans="1:18" s="139" customFormat="1" ht="27.95" customHeight="1" x14ac:dyDescent="0.15">
      <c r="A726" s="136"/>
      <c r="B726" s="136"/>
      <c r="C726" s="137"/>
      <c r="D726" s="137"/>
      <c r="E726" s="138"/>
      <c r="F726" s="137"/>
      <c r="G726" s="346"/>
      <c r="H726" s="136"/>
      <c r="I726" s="137"/>
      <c r="J726" s="136"/>
      <c r="K726" s="136"/>
      <c r="L726" s="336"/>
      <c r="M726" s="136"/>
      <c r="N726" s="306"/>
      <c r="O726" s="306" t="e">
        <v>#VALUE!</v>
      </c>
      <c r="P726" s="308" t="str">
        <f t="shared" si="12"/>
        <v/>
      </c>
      <c r="Q726" s="76" t="str">
        <f>HYPERLINK("http://kameyamarekihaku.jp/sisi/tuusiHP_next/kingendai/image/04/gi.htm?pf=3031zu004-01.JPG&amp;?pn=%E6%98%8E%E6%B2%BB%E6%99%82%E4%BB%A3%E3%81%AE%E7%94%BA%E6%9D%91%E5%90%8D%E3%81%A8%E7%8F%BE%E5%9C%A8%E3%81%AE%E4%BA%80%E5%B1%B1%E5%B8%82","いまの亀山市域につながる村")</f>
        <v>いまの亀山市域につながる村</v>
      </c>
      <c r="R726" s="332"/>
    </row>
    <row r="727" spans="1:18" s="139" customFormat="1" ht="36.75" customHeight="1" x14ac:dyDescent="0.15">
      <c r="A727" s="145" t="s">
        <v>1952</v>
      </c>
      <c r="B727" s="145">
        <v>19</v>
      </c>
      <c r="C727" s="146" t="s">
        <v>2001</v>
      </c>
      <c r="D727" s="146">
        <v>1869</v>
      </c>
      <c r="E727" s="147" t="s">
        <v>20</v>
      </c>
      <c r="F727" s="146"/>
      <c r="G727" s="146" t="s">
        <v>2002</v>
      </c>
      <c r="H727" s="145" t="s">
        <v>464</v>
      </c>
      <c r="I727" s="146" t="s">
        <v>1833</v>
      </c>
      <c r="J727" s="145" t="s">
        <v>2003</v>
      </c>
      <c r="K727" s="145"/>
      <c r="L727" s="145"/>
      <c r="M727" s="145"/>
      <c r="N727" s="32" t="s">
        <v>2004</v>
      </c>
      <c r="O727" s="32" t="s">
        <v>1697</v>
      </c>
      <c r="P727" s="33" t="str">
        <f t="shared" si="12"/>
        <v>日本の歴史の中の亀山／近世の亀山／新しい学問と化政文化／藩校明倫舎</v>
      </c>
      <c r="Q727" s="17" t="str">
        <f>HYPERLINK("http:/kameyamarekihaku.jp/kako-tenji/4.html","第４回　テーマ展示 蔵書印から探る藩校　明倫舎の軌跡")</f>
        <v>第４回　テーマ展示 蔵書印から探る藩校　明倫舎の軌跡</v>
      </c>
      <c r="R727" s="347" t="s">
        <v>2005</v>
      </c>
    </row>
    <row r="728" spans="1:18" s="139" customFormat="1" ht="33.75" customHeight="1" x14ac:dyDescent="0.15">
      <c r="A728" s="136"/>
      <c r="B728" s="136"/>
      <c r="C728" s="137"/>
      <c r="D728" s="137"/>
      <c r="E728" s="138"/>
      <c r="F728" s="137"/>
      <c r="G728" s="137"/>
      <c r="H728" s="136"/>
      <c r="I728" s="137"/>
      <c r="J728" s="136"/>
      <c r="K728" s="136"/>
      <c r="L728" s="136"/>
      <c r="M728" s="136"/>
      <c r="N728" s="19" t="s">
        <v>1794</v>
      </c>
      <c r="O728" s="19" t="s">
        <v>1700</v>
      </c>
      <c r="P728" s="20" t="str">
        <f t="shared" si="12"/>
        <v>学校のあゆみ／亀山城主石川家と家来の学校</v>
      </c>
      <c r="Q728" s="21" t="str">
        <f>HYPERLINK("http:/kameyamarekihaku.jp/sisi/tuusiHP_next/tuusi-index.html#kinsei0602","市史通史編 近世第6章第2節第1項")</f>
        <v>市史通史編 近世第6章第2節第1項</v>
      </c>
      <c r="R728" s="332"/>
    </row>
    <row r="729" spans="1:18" s="139" customFormat="1" ht="18" customHeight="1" x14ac:dyDescent="0.15">
      <c r="A729" s="151"/>
      <c r="B729" s="151"/>
      <c r="C729" s="152"/>
      <c r="D729" s="152"/>
      <c r="E729" s="153"/>
      <c r="F729" s="152"/>
      <c r="G729" s="152"/>
      <c r="H729" s="151"/>
      <c r="I729" s="152"/>
      <c r="J729" s="151"/>
      <c r="K729" s="151"/>
      <c r="L729" s="151"/>
      <c r="M729" s="151"/>
      <c r="N729" s="29" t="s">
        <v>2006</v>
      </c>
      <c r="O729" s="29" t="s">
        <v>2007</v>
      </c>
      <c r="P729" s="30" t="str">
        <f t="shared" si="12"/>
        <v>学校のあゆみ／亀山県時代の学校</v>
      </c>
      <c r="Q729" s="10"/>
      <c r="R729" s="157"/>
    </row>
    <row r="730" spans="1:18" s="139" customFormat="1" ht="45.75" customHeight="1" x14ac:dyDescent="0.15">
      <c r="A730" s="136" t="s">
        <v>1952</v>
      </c>
      <c r="B730" s="136">
        <v>19</v>
      </c>
      <c r="C730" s="137" t="s">
        <v>2008</v>
      </c>
      <c r="D730" s="137">
        <v>1870</v>
      </c>
      <c r="E730" s="138" t="s">
        <v>34</v>
      </c>
      <c r="F730" s="137"/>
      <c r="G730" s="137" t="s">
        <v>2009</v>
      </c>
      <c r="H730" s="136" t="s">
        <v>464</v>
      </c>
      <c r="I730" s="137" t="s">
        <v>2010</v>
      </c>
      <c r="J730" s="136" t="s">
        <v>2011</v>
      </c>
      <c r="K730" s="136"/>
      <c r="L730" s="136"/>
      <c r="M730" s="21" t="str">
        <f>HYPERLINK("http:/kameyamarekihaku.jp/sisi/koukoHP/archives/kamejyougennjyo/01/01-06/gi.html?pf=KJGNJY0106-06-007.JPG&amp;pn=%E6%A5%A0%E9%96%80%E8%B7%A1%E3%81%AE%E5%B1%B1%E5%B4%8E%E9%9B%AA%E6%9F%B3%E8%BB%92%E9%81%BA%E5%89%A3%E7%A2%91","楠門跡の山崎雪柳軒遺剣碑")</f>
        <v>楠門跡の山崎雪柳軒遺剣碑</v>
      </c>
      <c r="N730" s="19" t="s">
        <v>1816</v>
      </c>
      <c r="O730" s="19" t="s">
        <v>1817</v>
      </c>
      <c r="P730" s="20" t="str">
        <f t="shared" si="12"/>
        <v>亀山のいいとこさがし／人々がつたえてきたこと／技や仕事／心形刀流武芸形</v>
      </c>
      <c r="Q730" s="28" t="str">
        <f>HYPERLINK("http://kameyamarekihaku.jp/raikan_demae/140213_nishi.html","西小6年授業支援実践例「『心形刀流』の学習に亀山演武場に行きました」")</f>
        <v>西小6年授業支援実践例「『心形刀流』の学習に亀山演武場に行きました」</v>
      </c>
      <c r="R730" s="332" t="s">
        <v>2012</v>
      </c>
    </row>
    <row r="731" spans="1:18" s="208" customFormat="1" ht="39.75" customHeight="1" x14ac:dyDescent="0.15">
      <c r="A731" s="151"/>
      <c r="B731" s="151"/>
      <c r="C731" s="152"/>
      <c r="D731" s="152"/>
      <c r="E731" s="153"/>
      <c r="F731" s="152"/>
      <c r="G731" s="152"/>
      <c r="H731" s="151"/>
      <c r="I731" s="152"/>
      <c r="J731" s="151"/>
      <c r="K731" s="151"/>
      <c r="L731" s="151"/>
      <c r="M731" s="151"/>
      <c r="N731" s="29"/>
      <c r="O731" s="29" t="e">
        <v>#VALUE!</v>
      </c>
      <c r="P731" s="30" t="str">
        <f t="shared" si="12"/>
        <v/>
      </c>
      <c r="Q731" s="31" t="str">
        <f>HYPERLINK("http://kameyamarekihaku.jp/raikan_demae/140620_nisi_syo.html","西小6年地域素材の教材化実践例「亀山の史跡を知ろう」")</f>
        <v>西小6年地域素材の教材化実践例「亀山の史跡を知ろう」</v>
      </c>
      <c r="R731" s="348"/>
    </row>
    <row r="732" spans="1:18" s="139" customFormat="1" ht="49.5" customHeight="1" x14ac:dyDescent="0.15">
      <c r="A732" s="142" t="s">
        <v>1952</v>
      </c>
      <c r="B732" s="142">
        <v>19</v>
      </c>
      <c r="C732" s="143" t="s">
        <v>2008</v>
      </c>
      <c r="D732" s="143">
        <v>1870</v>
      </c>
      <c r="E732" s="144" t="s">
        <v>20</v>
      </c>
      <c r="F732" s="143"/>
      <c r="G732" s="143" t="s">
        <v>2013</v>
      </c>
      <c r="H732" s="142" t="s">
        <v>2014</v>
      </c>
      <c r="I732" s="143" t="s">
        <v>2015</v>
      </c>
      <c r="J732" s="142"/>
      <c r="K732" s="142"/>
      <c r="L732" s="142"/>
      <c r="M732" s="142"/>
      <c r="N732" s="23"/>
      <c r="O732" s="23" t="e">
        <v>#VALUE!</v>
      </c>
      <c r="P732" s="24" t="str">
        <f t="shared" si="12"/>
        <v/>
      </c>
      <c r="Q732" s="25" t="str">
        <f>HYPERLINK("http:/kameyamarekihaku.jp/sisi/RekisiHP/kingendai/saigai/saigai-meiji/saigai-meiji2.html","市史近代・現代ページ　明治３年９月１８日の大風雨による被害状況（表）")</f>
        <v>市史近代・現代ページ　明治３年９月１８日の大風雨による被害状況（表）</v>
      </c>
      <c r="R732" s="142" t="s">
        <v>2016</v>
      </c>
    </row>
    <row r="733" spans="1:18" s="139" customFormat="1" ht="37.5" customHeight="1" x14ac:dyDescent="0.15">
      <c r="A733" s="142" t="s">
        <v>1952</v>
      </c>
      <c r="B733" s="142">
        <v>19</v>
      </c>
      <c r="C733" s="143" t="s">
        <v>2017</v>
      </c>
      <c r="D733" s="143">
        <v>1871</v>
      </c>
      <c r="E733" s="144" t="s">
        <v>20</v>
      </c>
      <c r="F733" s="143"/>
      <c r="G733" s="143" t="s">
        <v>2018</v>
      </c>
      <c r="H733" s="120" t="s">
        <v>464</v>
      </c>
      <c r="I733" s="175" t="s">
        <v>1911</v>
      </c>
      <c r="J733" s="142" t="s">
        <v>2019</v>
      </c>
      <c r="K733" s="142"/>
      <c r="L733" s="142"/>
      <c r="M733" s="142"/>
      <c r="N733" s="12" t="s">
        <v>2020</v>
      </c>
      <c r="O733" s="12" t="s">
        <v>2021</v>
      </c>
      <c r="P733" s="13" t="str">
        <f t="shared" si="12"/>
        <v>日本の歴史の中の亀山／近代の亀山／明治維新と亀山／郵便制度の開始</v>
      </c>
      <c r="Q733" s="158"/>
      <c r="R733" s="142" t="s">
        <v>2022</v>
      </c>
    </row>
    <row r="734" spans="1:18" s="139" customFormat="1" ht="36" customHeight="1" x14ac:dyDescent="0.15">
      <c r="A734" s="145" t="s">
        <v>1952</v>
      </c>
      <c r="B734" s="145">
        <v>19</v>
      </c>
      <c r="C734" s="146" t="s">
        <v>2023</v>
      </c>
      <c r="D734" s="146">
        <v>1871</v>
      </c>
      <c r="E734" s="147" t="s">
        <v>20</v>
      </c>
      <c r="F734" s="146" t="s">
        <v>2024</v>
      </c>
      <c r="G734" s="345" t="s">
        <v>2025</v>
      </c>
      <c r="H734" s="145"/>
      <c r="I734" s="146"/>
      <c r="J734" s="145"/>
      <c r="K734" s="145"/>
      <c r="L734" s="145"/>
      <c r="M734" s="145"/>
      <c r="N734" s="32" t="s">
        <v>2026</v>
      </c>
      <c r="O734" s="32" t="s">
        <v>2027</v>
      </c>
      <c r="P734" s="33" t="str">
        <f t="shared" si="12"/>
        <v>日本の歴史の中の亀山／近世の亀山／藩から県へ</v>
      </c>
      <c r="Q734" s="17" t="str">
        <f>HYPERLINK("http://kameyamarekihaku.jp/sisi/RekisiHP/kingendai/01/01%20hensen/01-01.html","市史近代・現代ページ　地図でたどる亀山市のうつりかわり")</f>
        <v>市史近代・現代ページ　地図でたどる亀山市のうつりかわり</v>
      </c>
      <c r="R734" s="347" t="s">
        <v>2028</v>
      </c>
    </row>
    <row r="735" spans="1:18" s="139" customFormat="1" ht="27.75" customHeight="1" x14ac:dyDescent="0.15">
      <c r="A735" s="136"/>
      <c r="B735" s="136"/>
      <c r="C735" s="137"/>
      <c r="D735" s="137"/>
      <c r="E735" s="138"/>
      <c r="F735" s="137"/>
      <c r="G735" s="346"/>
      <c r="H735" s="136"/>
      <c r="I735" s="137"/>
      <c r="J735" s="136"/>
      <c r="K735" s="136"/>
      <c r="L735" s="136"/>
      <c r="M735" s="136"/>
      <c r="N735" s="19" t="s">
        <v>2029</v>
      </c>
      <c r="O735" s="19" t="s">
        <v>2030</v>
      </c>
      <c r="P735" s="20" t="str">
        <f t="shared" si="12"/>
        <v>日本の歴史の中の亀山／近代の亀山／明治維新と亀山／廃藩置県</v>
      </c>
      <c r="Q735" s="21" t="str">
        <f>HYPERLINK("http://kameyamarekihaku.jp/sisi/RekisiHP/kingendai/01/m04siryo/m04.html","市史近代・現代ページ　明治４（1871）年の関係資料")</f>
        <v>市史近代・現代ページ　明治４（1871）年の関係資料</v>
      </c>
      <c r="R735" s="332"/>
    </row>
    <row r="736" spans="1:18" s="139" customFormat="1" ht="31.5" customHeight="1" x14ac:dyDescent="0.15">
      <c r="A736" s="136"/>
      <c r="B736" s="136"/>
      <c r="C736" s="137"/>
      <c r="D736" s="137"/>
      <c r="E736" s="138"/>
      <c r="F736" s="137"/>
      <c r="G736" s="346"/>
      <c r="H736" s="136"/>
      <c r="I736" s="137"/>
      <c r="J736" s="136"/>
      <c r="K736" s="136"/>
      <c r="L736" s="136"/>
      <c r="M736" s="136"/>
      <c r="N736" s="19"/>
      <c r="O736" s="19" t="e">
        <v>#VALUE!</v>
      </c>
      <c r="P736" s="20" t="str">
        <f t="shared" si="12"/>
        <v/>
      </c>
      <c r="Q736" s="21" t="str">
        <f>HYPERLINK("http:/kameyamarekihaku.jp/sisi/tuusiHP_next/tuusi-index.html#kingendai0101","市史通史編 近代・現代第1章第1節")</f>
        <v>市史通史編 近代・現代第1章第1節</v>
      </c>
      <c r="R736" s="332"/>
    </row>
    <row r="737" spans="1:18" s="139" customFormat="1" ht="19.5" customHeight="1" x14ac:dyDescent="0.15">
      <c r="A737" s="142" t="s">
        <v>1952</v>
      </c>
      <c r="B737" s="142">
        <v>19</v>
      </c>
      <c r="C737" s="143" t="s">
        <v>2031</v>
      </c>
      <c r="D737" s="143">
        <v>1871</v>
      </c>
      <c r="E737" s="144" t="s">
        <v>20</v>
      </c>
      <c r="F737" s="143"/>
      <c r="G737" s="143" t="s">
        <v>2032</v>
      </c>
      <c r="H737" s="142" t="s">
        <v>464</v>
      </c>
      <c r="I737" s="143" t="s">
        <v>1833</v>
      </c>
      <c r="J737" s="142" t="s">
        <v>2033</v>
      </c>
      <c r="K737" s="142"/>
      <c r="L737" s="142"/>
      <c r="M737" s="142"/>
      <c r="N737" s="12" t="s">
        <v>2006</v>
      </c>
      <c r="O737" s="12" t="s">
        <v>2007</v>
      </c>
      <c r="P737" s="13" t="str">
        <f t="shared" si="12"/>
        <v>学校のあゆみ／亀山県時代の学校</v>
      </c>
      <c r="Q737" s="158"/>
      <c r="R737" s="142" t="s">
        <v>2034</v>
      </c>
    </row>
    <row r="738" spans="1:18" s="139" customFormat="1" ht="42" customHeight="1" x14ac:dyDescent="0.15">
      <c r="A738" s="142" t="s">
        <v>2035</v>
      </c>
      <c r="B738" s="142">
        <v>19</v>
      </c>
      <c r="C738" s="143" t="s">
        <v>2036</v>
      </c>
      <c r="D738" s="143">
        <v>1871</v>
      </c>
      <c r="E738" s="144" t="s">
        <v>20</v>
      </c>
      <c r="F738" s="143" t="s">
        <v>2037</v>
      </c>
      <c r="G738" s="143"/>
      <c r="H738" s="142"/>
      <c r="I738" s="143"/>
      <c r="J738" s="142"/>
      <c r="K738" s="142"/>
      <c r="L738" s="142"/>
      <c r="M738" s="142"/>
      <c r="N738" s="23" t="s">
        <v>2038</v>
      </c>
      <c r="O738" s="23" t="s">
        <v>2039</v>
      </c>
      <c r="P738" s="24" t="str">
        <f t="shared" si="12"/>
        <v>日本の歴史の中の亀山／近代の亀山／明治維新と亀山／戸籍調査の実施と戸長制度</v>
      </c>
      <c r="Q738" s="25" t="str">
        <f>HYPERLINK("http:/kameyamarekihaku.jp/sisi/tuusiHP_next/tuusi-index.html#kingendai0101","市史通史編 近代・現代第1章第1節第2項")</f>
        <v>市史通史編 近代・現代第1章第1節第2項</v>
      </c>
      <c r="R738" s="142" t="s">
        <v>2040</v>
      </c>
    </row>
    <row r="739" spans="1:18" s="139" customFormat="1" ht="48" customHeight="1" x14ac:dyDescent="0.15">
      <c r="A739" s="145" t="s">
        <v>1952</v>
      </c>
      <c r="B739" s="145">
        <v>19</v>
      </c>
      <c r="C739" s="146" t="s">
        <v>2041</v>
      </c>
      <c r="D739" s="146">
        <v>1871</v>
      </c>
      <c r="E739" s="147" t="s">
        <v>20</v>
      </c>
      <c r="F739" s="146" t="s">
        <v>2042</v>
      </c>
      <c r="G739" s="146"/>
      <c r="H739" s="145"/>
      <c r="I739" s="146"/>
      <c r="J739" s="145"/>
      <c r="K739" s="145"/>
      <c r="L739" s="218" t="s">
        <v>2043</v>
      </c>
      <c r="M739" s="145"/>
      <c r="N739" s="34" t="s">
        <v>2044</v>
      </c>
      <c r="O739" s="34" t="s">
        <v>2045</v>
      </c>
      <c r="P739" s="35" t="str">
        <f t="shared" si="12"/>
        <v>日本の歴史の中の亀山／近代の亀山／明治維新と亀山／身分制度の廃止</v>
      </c>
      <c r="Q739" s="160"/>
      <c r="R739" s="145" t="s">
        <v>1536</v>
      </c>
    </row>
    <row r="740" spans="1:18" s="221" customFormat="1" ht="92.25" customHeight="1" x14ac:dyDescent="0.15">
      <c r="A740" s="142" t="s">
        <v>1952</v>
      </c>
      <c r="B740" s="142">
        <v>19</v>
      </c>
      <c r="C740" s="143" t="s">
        <v>2046</v>
      </c>
      <c r="D740" s="143">
        <v>1872</v>
      </c>
      <c r="E740" s="144" t="s">
        <v>20</v>
      </c>
      <c r="F740" s="219"/>
      <c r="G740" s="142" t="s">
        <v>2047</v>
      </c>
      <c r="H740" s="219"/>
      <c r="I740" s="219"/>
      <c r="J740" s="219"/>
      <c r="K740" s="219"/>
      <c r="L740" s="219"/>
      <c r="M740" s="219"/>
      <c r="N740" s="23"/>
      <c r="O740" s="23" t="e">
        <v>#VALUE!</v>
      </c>
      <c r="P740" s="24" t="str">
        <f t="shared" si="12"/>
        <v/>
      </c>
      <c r="Q740" s="25" t="str">
        <f>HYPERLINK("http:/kameyamarekihaku.jp/sisi/RekisiHP/kingendai/01/m05siryo/m05.html","市史近代・現代ページ　明治５(1872)年の関係資料")</f>
        <v>市史近代・現代ページ　明治５(1872)年の関係資料</v>
      </c>
      <c r="R740" s="220" t="s">
        <v>2048</v>
      </c>
    </row>
    <row r="741" spans="1:18" s="221" customFormat="1" ht="48.75" customHeight="1" x14ac:dyDescent="0.15">
      <c r="A741" s="151" t="s">
        <v>1952</v>
      </c>
      <c r="B741" s="151">
        <v>19</v>
      </c>
      <c r="C741" s="152" t="s">
        <v>2046</v>
      </c>
      <c r="D741" s="152">
        <v>1872</v>
      </c>
      <c r="E741" s="153" t="s">
        <v>20</v>
      </c>
      <c r="F741" s="152" t="s">
        <v>2049</v>
      </c>
      <c r="G741" s="222"/>
      <c r="H741" s="223"/>
      <c r="I741" s="223"/>
      <c r="J741" s="223"/>
      <c r="K741" s="223"/>
      <c r="L741" s="223"/>
      <c r="M741" s="223"/>
      <c r="N741" s="86" t="s">
        <v>2050</v>
      </c>
      <c r="O741" s="86" t="s">
        <v>2051</v>
      </c>
      <c r="P741" s="87" t="str">
        <f t="shared" si="12"/>
        <v>日本の歴史の中の亀山／近代の亀山／明治維新と亀山／学制の公布と亀山の学校</v>
      </c>
      <c r="Q741" s="224"/>
      <c r="R741" s="223"/>
    </row>
    <row r="742" spans="1:18" s="139" customFormat="1" ht="33" customHeight="1" x14ac:dyDescent="0.15">
      <c r="A742" s="151" t="s">
        <v>1952</v>
      </c>
      <c r="B742" s="151">
        <v>19</v>
      </c>
      <c r="C742" s="152" t="s">
        <v>2046</v>
      </c>
      <c r="D742" s="152">
        <v>1872</v>
      </c>
      <c r="E742" s="144" t="s">
        <v>20</v>
      </c>
      <c r="F742" s="152"/>
      <c r="G742" s="155" t="s">
        <v>2052</v>
      </c>
      <c r="H742" s="151"/>
      <c r="I742" s="152"/>
      <c r="J742" s="151"/>
      <c r="K742" s="151"/>
      <c r="L742" s="151"/>
      <c r="M742" s="151"/>
      <c r="N742" s="86" t="s">
        <v>2053</v>
      </c>
      <c r="O742" s="86" t="s">
        <v>2045</v>
      </c>
      <c r="P742" s="87" t="str">
        <f t="shared" si="12"/>
        <v>日本の歴史の中の亀山／近代の亀山／明治維新と亀山／身分制度の廃止</v>
      </c>
      <c r="Q742" s="157"/>
      <c r="R742" s="151"/>
    </row>
    <row r="743" spans="1:18" s="139" customFormat="1" ht="42.75" customHeight="1" x14ac:dyDescent="0.15">
      <c r="A743" s="151" t="s">
        <v>1952</v>
      </c>
      <c r="B743" s="151">
        <v>19</v>
      </c>
      <c r="C743" s="152" t="s">
        <v>2046</v>
      </c>
      <c r="D743" s="152">
        <v>1872</v>
      </c>
      <c r="E743" s="144" t="s">
        <v>20</v>
      </c>
      <c r="F743" s="143"/>
      <c r="G743" s="143" t="s">
        <v>2054</v>
      </c>
      <c r="H743" s="142"/>
      <c r="I743" s="143"/>
      <c r="J743" s="142"/>
      <c r="K743" s="142"/>
      <c r="L743" s="142"/>
      <c r="M743" s="142"/>
      <c r="N743" s="12"/>
      <c r="O743" s="12" t="e">
        <v>#VALUE!</v>
      </c>
      <c r="P743" s="13" t="str">
        <f t="shared" si="12"/>
        <v/>
      </c>
      <c r="Q743" s="158"/>
      <c r="R743" s="142" t="s">
        <v>2034</v>
      </c>
    </row>
    <row r="744" spans="1:18" s="139" customFormat="1" ht="13.15" customHeight="1" x14ac:dyDescent="0.15">
      <c r="A744" s="142" t="s">
        <v>1952</v>
      </c>
      <c r="B744" s="142">
        <v>19</v>
      </c>
      <c r="C744" s="143" t="s">
        <v>2046</v>
      </c>
      <c r="D744" s="143">
        <v>1872</v>
      </c>
      <c r="E744" s="144" t="s">
        <v>20</v>
      </c>
      <c r="F744" s="143" t="s">
        <v>2055</v>
      </c>
      <c r="G744" s="143"/>
      <c r="H744" s="142"/>
      <c r="I744" s="143"/>
      <c r="J744" s="142"/>
      <c r="K744" s="142"/>
      <c r="L744" s="142"/>
      <c r="M744" s="142"/>
      <c r="N744" s="12"/>
      <c r="O744" s="12" t="e">
        <v>#VALUE!</v>
      </c>
      <c r="P744" s="13" t="str">
        <f t="shared" si="12"/>
        <v/>
      </c>
      <c r="Q744" s="158"/>
      <c r="R744" s="142"/>
    </row>
    <row r="745" spans="1:18" s="139" customFormat="1" ht="31.7" customHeight="1" x14ac:dyDescent="0.15">
      <c r="A745" s="142" t="s">
        <v>1952</v>
      </c>
      <c r="B745" s="142">
        <v>19</v>
      </c>
      <c r="C745" s="143" t="s">
        <v>2046</v>
      </c>
      <c r="D745" s="143">
        <v>1872</v>
      </c>
      <c r="E745" s="205" t="s">
        <v>851</v>
      </c>
      <c r="F745" s="143"/>
      <c r="G745" s="143" t="s">
        <v>2056</v>
      </c>
      <c r="H745" s="142"/>
      <c r="I745" s="143"/>
      <c r="J745" s="142"/>
      <c r="K745" s="142"/>
      <c r="L745" s="142"/>
      <c r="M745" s="142"/>
      <c r="N745" s="12"/>
      <c r="O745" s="12" t="e">
        <v>#VALUE!</v>
      </c>
      <c r="P745" s="13" t="str">
        <f t="shared" si="12"/>
        <v/>
      </c>
      <c r="Q745" s="158"/>
      <c r="R745" s="219" t="s">
        <v>2057</v>
      </c>
    </row>
    <row r="746" spans="1:18" s="139" customFormat="1" ht="31.5" customHeight="1" x14ac:dyDescent="0.15">
      <c r="A746" s="145" t="s">
        <v>1952</v>
      </c>
      <c r="B746" s="145">
        <v>19</v>
      </c>
      <c r="C746" s="146" t="s">
        <v>2046</v>
      </c>
      <c r="D746" s="146">
        <v>1872</v>
      </c>
      <c r="E746" s="147" t="s">
        <v>20</v>
      </c>
      <c r="F746" s="345" t="s">
        <v>2058</v>
      </c>
      <c r="G746" s="345" t="s">
        <v>2059</v>
      </c>
      <c r="H746" s="145"/>
      <c r="I746" s="146"/>
      <c r="J746" s="145"/>
      <c r="K746" s="145"/>
      <c r="L746" s="145"/>
      <c r="M746" s="145"/>
      <c r="N746" s="32"/>
      <c r="O746" s="32" t="e">
        <v>#VALUE!</v>
      </c>
      <c r="P746" s="33" t="str">
        <f t="shared" si="12"/>
        <v/>
      </c>
      <c r="Q746" s="17" t="str">
        <f>HYPERLINK("http:/kameyamarekihaku.jp/sisi/tuusiHP_next/tuusi-index.html#kingendai0101","市史通史編 近代・現代第1章第1節")</f>
        <v>市史通史編 近代・現代第1章第1節</v>
      </c>
      <c r="R746" s="225" t="s">
        <v>2057</v>
      </c>
    </row>
    <row r="747" spans="1:18" s="139" customFormat="1" ht="46.5" customHeight="1" x14ac:dyDescent="0.15">
      <c r="A747" s="151"/>
      <c r="B747" s="151"/>
      <c r="C747" s="152"/>
      <c r="D747" s="152"/>
      <c r="E747" s="153"/>
      <c r="F747" s="353"/>
      <c r="G747" s="353"/>
      <c r="H747" s="151"/>
      <c r="I747" s="152"/>
      <c r="J747" s="151"/>
      <c r="K747" s="151"/>
      <c r="L747" s="151"/>
      <c r="M747" s="151"/>
      <c r="N747" s="29"/>
      <c r="O747" s="29" t="e">
        <v>#VALUE!</v>
      </c>
      <c r="P747" s="30" t="str">
        <f t="shared" si="12"/>
        <v/>
      </c>
      <c r="Q747" s="10" t="str">
        <f>HYPERLINK("http://kameyamarekihaku.jp/sisi/RekisiHP/kingendai/01/01%20hensen/01-01.html","市史近代・現代ページ　地図でたどる亀山市のうつりかわり")</f>
        <v>市史近代・現代ページ　地図でたどる亀山市のうつりかわり</v>
      </c>
      <c r="R747" s="223"/>
    </row>
    <row r="748" spans="1:18" s="139" customFormat="1" ht="30" customHeight="1" x14ac:dyDescent="0.15">
      <c r="A748" s="142" t="s">
        <v>1952</v>
      </c>
      <c r="B748" s="142">
        <v>19</v>
      </c>
      <c r="C748" s="143" t="s">
        <v>2046</v>
      </c>
      <c r="D748" s="143">
        <v>1872</v>
      </c>
      <c r="E748" s="144" t="s">
        <v>34</v>
      </c>
      <c r="F748" s="143" t="s">
        <v>2060</v>
      </c>
      <c r="G748" s="143"/>
      <c r="H748" s="142"/>
      <c r="I748" s="143"/>
      <c r="J748" s="142"/>
      <c r="K748" s="142"/>
      <c r="L748" s="142"/>
      <c r="M748" s="142"/>
      <c r="N748" s="12"/>
      <c r="O748" s="12" t="e">
        <v>#VALUE!</v>
      </c>
      <c r="P748" s="13" t="str">
        <f t="shared" si="12"/>
        <v/>
      </c>
      <c r="Q748" s="158"/>
      <c r="R748" s="142"/>
    </row>
    <row r="749" spans="1:18" s="139" customFormat="1" ht="58.7" customHeight="1" x14ac:dyDescent="0.15">
      <c r="A749" s="142" t="s">
        <v>1952</v>
      </c>
      <c r="B749" s="142">
        <v>19</v>
      </c>
      <c r="C749" s="143" t="s">
        <v>2046</v>
      </c>
      <c r="D749" s="143">
        <v>1872</v>
      </c>
      <c r="E749" s="144" t="s">
        <v>20</v>
      </c>
      <c r="F749" s="143"/>
      <c r="G749" s="143" t="s">
        <v>2061</v>
      </c>
      <c r="H749" s="142"/>
      <c r="I749" s="143"/>
      <c r="J749" s="142"/>
      <c r="K749" s="142"/>
      <c r="L749" s="142"/>
      <c r="M749" s="142"/>
      <c r="N749" s="12" t="s">
        <v>2062</v>
      </c>
      <c r="O749" s="12" t="s">
        <v>2063</v>
      </c>
      <c r="P749" s="13" t="str">
        <f t="shared" si="12"/>
        <v>日本の歴史の中の亀山／近代の亀山／明治維新と亀山／警察制度</v>
      </c>
      <c r="Q749" s="158"/>
      <c r="R749" s="142" t="s">
        <v>2064</v>
      </c>
    </row>
    <row r="750" spans="1:18" s="139" customFormat="1" ht="32.25" customHeight="1" x14ac:dyDescent="0.15">
      <c r="A750" s="145" t="s">
        <v>1952</v>
      </c>
      <c r="B750" s="145">
        <v>19</v>
      </c>
      <c r="C750" s="146" t="s">
        <v>2065</v>
      </c>
      <c r="D750" s="146">
        <v>1873</v>
      </c>
      <c r="E750" s="147" t="s">
        <v>20</v>
      </c>
      <c r="F750" s="146"/>
      <c r="G750" s="364" t="s">
        <v>2066</v>
      </c>
      <c r="H750" s="145" t="s">
        <v>464</v>
      </c>
      <c r="I750" s="146" t="s">
        <v>1157</v>
      </c>
      <c r="J750" s="145" t="s">
        <v>2067</v>
      </c>
      <c r="K750" s="145"/>
      <c r="L750" s="145" t="s">
        <v>2068</v>
      </c>
      <c r="M750" s="145"/>
      <c r="N750" s="32" t="s">
        <v>2069</v>
      </c>
      <c r="O750" s="32" t="s">
        <v>2070</v>
      </c>
      <c r="P750" s="33" t="str">
        <f t="shared" si="12"/>
        <v>亀山城と宿場／亀山城のつくり／櫓／多門櫓</v>
      </c>
      <c r="Q750" s="17" t="str">
        <f>HYPERLINK("http:/kameyamarekihaku.jp/sisi/tuusiHP_next/tuusi-index.html#kinsei0102","市史通史編 近世第1章第2節")</f>
        <v>市史通史編 近世第1章第2節</v>
      </c>
      <c r="R750" s="145" t="s">
        <v>2071</v>
      </c>
    </row>
    <row r="751" spans="1:18" s="139" customFormat="1" ht="28.5" customHeight="1" x14ac:dyDescent="0.15">
      <c r="A751" s="136"/>
      <c r="B751" s="136"/>
      <c r="C751" s="137"/>
      <c r="D751" s="137"/>
      <c r="E751" s="138"/>
      <c r="F751" s="137"/>
      <c r="G751" s="365"/>
      <c r="H751" s="136"/>
      <c r="I751" s="137"/>
      <c r="J751" s="136"/>
      <c r="K751" s="136"/>
      <c r="L751" s="226" t="str">
        <f>HYPERLINK("http://kameyamarekihaku.jp/yane_no_nai/unit_leaf/A-18.pdf","歴博貸出ユニットA－18")</f>
        <v>歴博貸出ユニットA－18</v>
      </c>
      <c r="M751" s="136"/>
      <c r="N751" s="19" t="s">
        <v>2072</v>
      </c>
      <c r="O751" s="19" t="s">
        <v>2073</v>
      </c>
      <c r="P751" s="20" t="str">
        <f t="shared" si="12"/>
        <v>亀山城と宿場／亀山城のおわりから文化財の亀山城へ／亀山城のとりこわし</v>
      </c>
      <c r="Q751" s="28" t="str">
        <f>HYPERLINK("http://kameyamarekihaku.jp/raikan_demae/140620_nisi_syo.html","西小6年地域素材の教材化実践例「亀山の史跡を知ろう」")</f>
        <v>西小6年地域素材の教材化実践例「亀山の史跡を知ろう」</v>
      </c>
      <c r="R751" s="136"/>
    </row>
    <row r="752" spans="1:18" s="139" customFormat="1" ht="30.75" customHeight="1" x14ac:dyDescent="0.15">
      <c r="A752" s="151"/>
      <c r="B752" s="151"/>
      <c r="C752" s="152"/>
      <c r="D752" s="152"/>
      <c r="E752" s="153"/>
      <c r="F752" s="152"/>
      <c r="G752" s="360"/>
      <c r="H752" s="151"/>
      <c r="I752" s="152"/>
      <c r="J752" s="151"/>
      <c r="K752" s="151"/>
      <c r="L752" s="133"/>
      <c r="M752" s="151"/>
      <c r="N752" s="29" t="s">
        <v>773</v>
      </c>
      <c r="O752" s="29" t="s">
        <v>774</v>
      </c>
      <c r="P752" s="30" t="str">
        <f t="shared" si="12"/>
        <v>亀山のいいとこさがし／建物</v>
      </c>
      <c r="Q752" s="10" t="str">
        <f>HYPERLINK("http://www.kameyamarekihaku.jp/sisi/seckam3/chizushiro.php","市史考古分野（各コンテンツ）「亀山城下を歩く」")</f>
        <v>市史考古分野（各コンテンツ）「亀山城下を歩く」</v>
      </c>
      <c r="R752" s="151"/>
    </row>
    <row r="753" spans="1:18" s="139" customFormat="1" ht="30" customHeight="1" x14ac:dyDescent="0.15">
      <c r="A753" s="142" t="s">
        <v>1952</v>
      </c>
      <c r="B753" s="142">
        <v>19</v>
      </c>
      <c r="C753" s="143" t="s">
        <v>2065</v>
      </c>
      <c r="D753" s="143">
        <v>1873</v>
      </c>
      <c r="E753" s="144" t="s">
        <v>20</v>
      </c>
      <c r="F753" s="143" t="s">
        <v>2074</v>
      </c>
      <c r="G753" s="143"/>
      <c r="H753" s="142"/>
      <c r="I753" s="143"/>
      <c r="J753" s="142"/>
      <c r="K753" s="142"/>
      <c r="L753" s="142"/>
      <c r="M753" s="142"/>
      <c r="N753" s="23" t="s">
        <v>2075</v>
      </c>
      <c r="O753" s="23" t="s">
        <v>2076</v>
      </c>
      <c r="P753" s="24" t="str">
        <f t="shared" si="12"/>
        <v>日本の歴史の中の亀山／近代の亀山／明治維新と亀山／徴兵令</v>
      </c>
      <c r="Q753" s="25" t="str">
        <f>HYPERLINK("http:/kameyamarekihaku.jp/sisi/tuusiHP_next/tuusi-index.html#kingendai0101","市史通史編 近代・現代第1章第1節第2項")</f>
        <v>市史通史編 近代・現代第1章第1節第2項</v>
      </c>
      <c r="R753" s="142" t="s">
        <v>2040</v>
      </c>
    </row>
    <row r="754" spans="1:18" s="139" customFormat="1" ht="65.45" customHeight="1" x14ac:dyDescent="0.15">
      <c r="A754" s="142" t="s">
        <v>1952</v>
      </c>
      <c r="B754" s="142">
        <v>19</v>
      </c>
      <c r="C754" s="143" t="s">
        <v>2077</v>
      </c>
      <c r="D754" s="143">
        <v>1873</v>
      </c>
      <c r="E754" s="144" t="s">
        <v>20</v>
      </c>
      <c r="F754" s="143"/>
      <c r="G754" s="143" t="s">
        <v>2078</v>
      </c>
      <c r="H754" s="142"/>
      <c r="I754" s="143"/>
      <c r="J754" s="142"/>
      <c r="K754" s="142"/>
      <c r="L754" s="142"/>
      <c r="M754" s="142"/>
      <c r="N754" s="12" t="s">
        <v>2079</v>
      </c>
      <c r="O754" s="12" t="s">
        <v>2080</v>
      </c>
      <c r="P754" s="13" t="str">
        <f t="shared" si="12"/>
        <v>学校のあゆみ／亀山西小学校のれきし</v>
      </c>
      <c r="Q754" s="158"/>
      <c r="R754" s="142" t="s">
        <v>2034</v>
      </c>
    </row>
    <row r="755" spans="1:18" s="139" customFormat="1" ht="33" customHeight="1" x14ac:dyDescent="0.15">
      <c r="A755" s="142" t="s">
        <v>1952</v>
      </c>
      <c r="B755" s="142">
        <v>19</v>
      </c>
      <c r="C755" s="143" t="s">
        <v>2077</v>
      </c>
      <c r="D755" s="143">
        <v>1873</v>
      </c>
      <c r="E755" s="144" t="s">
        <v>20</v>
      </c>
      <c r="F755" s="143" t="s">
        <v>2081</v>
      </c>
      <c r="G755" s="143" t="s">
        <v>2082</v>
      </c>
      <c r="H755" s="142"/>
      <c r="I755" s="143"/>
      <c r="J755" s="142"/>
      <c r="K755" s="142"/>
      <c r="L755" s="142" t="s">
        <v>2083</v>
      </c>
      <c r="M755" s="142"/>
      <c r="N755" s="23" t="s">
        <v>2084</v>
      </c>
      <c r="O755" s="23" t="s">
        <v>2085</v>
      </c>
      <c r="P755" s="24" t="str">
        <f t="shared" si="12"/>
        <v>日本の歴史の中の亀山／近代の亀山／明治維新と亀山／地券の発行と地租改正</v>
      </c>
      <c r="Q755" s="25" t="str">
        <f>HYPERLINK("http:/kameyamarekihaku.jp/sisi/tuusiHP_next/tuusi-index.html#kingendai0101","市史通史編 近代・現代第1章第1節第5項")</f>
        <v>市史通史編 近代・現代第1章第1節第5項</v>
      </c>
      <c r="R755" s="142" t="s">
        <v>2086</v>
      </c>
    </row>
    <row r="756" spans="1:18" s="139" customFormat="1" ht="28.15" customHeight="1" x14ac:dyDescent="0.15">
      <c r="A756" s="145" t="s">
        <v>1952</v>
      </c>
      <c r="B756" s="145">
        <v>19</v>
      </c>
      <c r="C756" s="146"/>
      <c r="D756" s="146"/>
      <c r="E756" s="147" t="s">
        <v>34</v>
      </c>
      <c r="F756" s="148" t="s">
        <v>2087</v>
      </c>
      <c r="G756" s="146"/>
      <c r="H756" s="145"/>
      <c r="I756" s="146"/>
      <c r="J756" s="145"/>
      <c r="K756" s="145"/>
      <c r="L756" s="226" t="str">
        <f>HYPERLINK("http://kameyamarekihaku.jp/yane_no_nai/unit_leaf/A-10.pdf","歴博貸出ユニットA－10")</f>
        <v>歴博貸出ユニットA－10</v>
      </c>
      <c r="M756" s="145"/>
      <c r="N756" s="32" t="s">
        <v>2088</v>
      </c>
      <c r="O756" s="32" t="s">
        <v>2089</v>
      </c>
      <c r="P756" s="33" t="str">
        <f t="shared" si="12"/>
        <v>日本の歴史の中の亀山／近代の亀山／文明開化</v>
      </c>
      <c r="Q756" s="182" t="str">
        <f>HYPERLINK("http://kameyamarekihaku.jp/raikan_demae/140314_kame_chu.html","亀中2年授業支援実践例「新しい学問と化政文化」")</f>
        <v>亀中2年授業支援実践例「新しい学問と化政文化」</v>
      </c>
      <c r="R756" s="145"/>
    </row>
    <row r="757" spans="1:18" s="139" customFormat="1" ht="28.15" customHeight="1" x14ac:dyDescent="0.15">
      <c r="A757" s="151"/>
      <c r="B757" s="151"/>
      <c r="C757" s="152"/>
      <c r="D757" s="152"/>
      <c r="E757" s="153"/>
      <c r="F757" s="152"/>
      <c r="G757" s="152"/>
      <c r="H757" s="151"/>
      <c r="I757" s="152"/>
      <c r="J757" s="151"/>
      <c r="K757" s="151"/>
      <c r="L757" s="133"/>
      <c r="M757" s="151"/>
      <c r="N757" s="29"/>
      <c r="O757" s="29" t="e">
        <v>#VALUE!</v>
      </c>
      <c r="P757" s="30" t="str">
        <f t="shared" si="12"/>
        <v/>
      </c>
      <c r="Q757" s="207" t="str">
        <f>HYPERLINK("http://kameyamarekihaku.jp/yane_no_nai/131206_hiru_syo.html","昼生小6年出前授業実践例「明治・大正時代の亀山」")</f>
        <v>昼生小6年出前授業実践例「明治・大正時代の亀山」</v>
      </c>
      <c r="R757" s="151"/>
    </row>
    <row r="758" spans="1:18" s="139" customFormat="1" ht="28.5" customHeight="1" x14ac:dyDescent="0.15">
      <c r="A758" s="142" t="s">
        <v>1952</v>
      </c>
      <c r="B758" s="142">
        <v>19</v>
      </c>
      <c r="C758" s="143" t="s">
        <v>2090</v>
      </c>
      <c r="D758" s="143">
        <v>1874</v>
      </c>
      <c r="E758" s="144" t="s">
        <v>20</v>
      </c>
      <c r="F758" s="143" t="s">
        <v>2091</v>
      </c>
      <c r="G758" s="143"/>
      <c r="H758" s="142"/>
      <c r="I758" s="143"/>
      <c r="J758" s="142"/>
      <c r="K758" s="142"/>
      <c r="L758" s="142"/>
      <c r="M758" s="142"/>
      <c r="N758" s="12" t="s">
        <v>2092</v>
      </c>
      <c r="O758" s="12" t="s">
        <v>2093</v>
      </c>
      <c r="P758" s="13" t="str">
        <f t="shared" si="12"/>
        <v>日本の歴史の中の亀山／近代の亀山／立憲国家の成立／自由民権運動</v>
      </c>
      <c r="Q758" s="158"/>
      <c r="R758" s="142"/>
    </row>
    <row r="759" spans="1:18" s="139" customFormat="1" ht="18" customHeight="1" x14ac:dyDescent="0.15">
      <c r="A759" s="145" t="s">
        <v>1952</v>
      </c>
      <c r="B759" s="145">
        <v>19</v>
      </c>
      <c r="C759" s="146" t="s">
        <v>2094</v>
      </c>
      <c r="D759" s="146">
        <v>1875</v>
      </c>
      <c r="E759" s="147" t="s">
        <v>20</v>
      </c>
      <c r="F759" s="146"/>
      <c r="G759" s="345" t="s">
        <v>2095</v>
      </c>
      <c r="H759" s="145"/>
      <c r="I759" s="146"/>
      <c r="J759" s="145"/>
      <c r="K759" s="145"/>
      <c r="L759" s="145"/>
      <c r="M759" s="145"/>
      <c r="N759" s="34" t="s">
        <v>2096</v>
      </c>
      <c r="O759" s="34" t="s">
        <v>2097</v>
      </c>
      <c r="P759" s="35" t="str">
        <f t="shared" si="12"/>
        <v>学校のあゆみ／明治八年の学校</v>
      </c>
      <c r="Q759" s="160"/>
      <c r="R759" s="145" t="s">
        <v>2034</v>
      </c>
    </row>
    <row r="760" spans="1:18" s="139" customFormat="1" ht="14.25" customHeight="1" x14ac:dyDescent="0.15">
      <c r="A760" s="151"/>
      <c r="B760" s="151"/>
      <c r="C760" s="152"/>
      <c r="D760" s="152"/>
      <c r="E760" s="153"/>
      <c r="F760" s="152"/>
      <c r="G760" s="353"/>
      <c r="H760" s="151"/>
      <c r="I760" s="152"/>
      <c r="J760" s="151"/>
      <c r="K760" s="151"/>
      <c r="L760" s="151"/>
      <c r="M760" s="151"/>
      <c r="N760" s="86" t="s">
        <v>2098</v>
      </c>
      <c r="O760" s="86" t="s">
        <v>2080</v>
      </c>
      <c r="P760" s="87" t="str">
        <f t="shared" si="12"/>
        <v>学校のあゆみ／亀山西小学校のれきし</v>
      </c>
      <c r="Q760" s="157"/>
      <c r="R760" s="151"/>
    </row>
    <row r="761" spans="1:18" s="139" customFormat="1" ht="33" customHeight="1" x14ac:dyDescent="0.15">
      <c r="A761" s="142" t="s">
        <v>1952</v>
      </c>
      <c r="B761" s="142">
        <v>19</v>
      </c>
      <c r="C761" s="143" t="s">
        <v>2094</v>
      </c>
      <c r="D761" s="143">
        <v>1875</v>
      </c>
      <c r="E761" s="144" t="s">
        <v>20</v>
      </c>
      <c r="F761" s="143"/>
      <c r="G761" s="143" t="s">
        <v>2099</v>
      </c>
      <c r="H761" s="142"/>
      <c r="I761" s="143"/>
      <c r="J761" s="142"/>
      <c r="K761" s="142"/>
      <c r="L761" s="142"/>
      <c r="M761" s="142"/>
      <c r="N761" s="12" t="s">
        <v>2062</v>
      </c>
      <c r="O761" s="12" t="s">
        <v>2063</v>
      </c>
      <c r="P761" s="13" t="str">
        <f t="shared" si="12"/>
        <v>日本の歴史の中の亀山／近代の亀山／明治維新と亀山／警察制度</v>
      </c>
      <c r="Q761" s="158"/>
      <c r="R761" s="142" t="s">
        <v>2064</v>
      </c>
    </row>
    <row r="762" spans="1:18" s="139" customFormat="1" ht="30" customHeight="1" x14ac:dyDescent="0.15">
      <c r="A762" s="142"/>
      <c r="B762" s="142">
        <v>19</v>
      </c>
      <c r="C762" s="143" t="s">
        <v>2094</v>
      </c>
      <c r="D762" s="143">
        <v>1875</v>
      </c>
      <c r="E762" s="144" t="s">
        <v>20</v>
      </c>
      <c r="F762" s="143"/>
      <c r="G762" s="143" t="s">
        <v>2100</v>
      </c>
      <c r="H762" s="142" t="s">
        <v>2101</v>
      </c>
      <c r="I762" s="143" t="s">
        <v>2102</v>
      </c>
      <c r="J762" s="142"/>
      <c r="K762" s="142"/>
      <c r="L762" s="142"/>
      <c r="M762" s="142"/>
      <c r="N762" s="32" t="s">
        <v>2103</v>
      </c>
      <c r="O762" s="32" t="s">
        <v>365</v>
      </c>
      <c r="P762" s="33" t="str">
        <f t="shared" si="12"/>
        <v>亀山のいいとこさがし／景色のよいところや歴史を知る手掛かりとなるもの／川</v>
      </c>
      <c r="Q762" s="17" t="str">
        <f>HYPERLINK("http://kameyamarekihaku.jp/sisi/RekisiHP/kingendai/saigai/saigai-meiji/saigai-meiji.html","市史近代・現代ページ　亀山の災害　明治の災害一覧表")</f>
        <v>市史近代・現代ページ　亀山の災害　明治の災害一覧表</v>
      </c>
      <c r="R762" s="142" t="s">
        <v>2104</v>
      </c>
    </row>
    <row r="763" spans="1:18" s="139" customFormat="1" ht="21" customHeight="1" x14ac:dyDescent="0.15">
      <c r="A763" s="142" t="s">
        <v>1952</v>
      </c>
      <c r="B763" s="142">
        <v>19</v>
      </c>
      <c r="C763" s="143" t="s">
        <v>2105</v>
      </c>
      <c r="D763" s="143">
        <v>1876</v>
      </c>
      <c r="E763" s="144" t="s">
        <v>59</v>
      </c>
      <c r="F763" s="143" t="s">
        <v>2106</v>
      </c>
      <c r="G763" s="143"/>
      <c r="H763" s="142"/>
      <c r="I763" s="143"/>
      <c r="J763" s="142"/>
      <c r="K763" s="142"/>
      <c r="L763" s="142"/>
      <c r="M763" s="142"/>
      <c r="N763" s="12"/>
      <c r="O763" s="12" t="e">
        <v>#VALUE!</v>
      </c>
      <c r="P763" s="13" t="str">
        <f t="shared" si="12"/>
        <v/>
      </c>
      <c r="Q763" s="158"/>
      <c r="R763" s="142"/>
    </row>
    <row r="764" spans="1:18" s="139" customFormat="1" ht="43.5" customHeight="1" x14ac:dyDescent="0.15">
      <c r="A764" s="142" t="s">
        <v>1952</v>
      </c>
      <c r="B764" s="142">
        <v>19</v>
      </c>
      <c r="C764" s="143" t="s">
        <v>2105</v>
      </c>
      <c r="D764" s="143">
        <v>1876</v>
      </c>
      <c r="E764" s="144" t="s">
        <v>20</v>
      </c>
      <c r="F764" s="143"/>
      <c r="G764" s="143" t="s">
        <v>2107</v>
      </c>
      <c r="H764" s="142"/>
      <c r="I764" s="143"/>
      <c r="J764" s="142"/>
      <c r="K764" s="142"/>
      <c r="L764" s="142"/>
      <c r="M764" s="142"/>
      <c r="N764" s="12" t="s">
        <v>2108</v>
      </c>
      <c r="O764" s="12" t="s">
        <v>2085</v>
      </c>
      <c r="P764" s="13" t="str">
        <f t="shared" si="12"/>
        <v>日本の歴史の中の亀山／近代の亀山／明治維新と亀山／地券の発行と地租改正</v>
      </c>
      <c r="Q764" s="158"/>
      <c r="R764" s="142" t="s">
        <v>2109</v>
      </c>
    </row>
    <row r="765" spans="1:18" s="139" customFormat="1" ht="27.75" customHeight="1" x14ac:dyDescent="0.15">
      <c r="A765" s="145" t="s">
        <v>1952</v>
      </c>
      <c r="B765" s="145">
        <v>19</v>
      </c>
      <c r="C765" s="146" t="s">
        <v>2105</v>
      </c>
      <c r="D765" s="146">
        <v>1876</v>
      </c>
      <c r="E765" s="147" t="s">
        <v>20</v>
      </c>
      <c r="F765" s="146"/>
      <c r="G765" s="345" t="s">
        <v>2110</v>
      </c>
      <c r="H765" s="145"/>
      <c r="I765" s="146"/>
      <c r="J765" s="145"/>
      <c r="K765" s="145"/>
      <c r="L765" s="145"/>
      <c r="M765" s="145"/>
      <c r="N765" s="32"/>
      <c r="O765" s="32" t="e">
        <v>#VALUE!</v>
      </c>
      <c r="P765" s="33" t="str">
        <f t="shared" si="12"/>
        <v/>
      </c>
      <c r="Q765" s="17" t="str">
        <f>HYPERLINK("http:/kameyamarekihaku.jp/sisi/RekisiHP/kingendai/01/m08siryo/m08.html","市史近代・現代ページ　明治８(1875)年の関係資料")</f>
        <v>市史近代・現代ページ　明治８(1875)年の関係資料</v>
      </c>
      <c r="R765" s="145" t="s">
        <v>2016</v>
      </c>
    </row>
    <row r="766" spans="1:18" s="139" customFormat="1" ht="48.75" customHeight="1" x14ac:dyDescent="0.15">
      <c r="A766" s="151"/>
      <c r="B766" s="151"/>
      <c r="C766" s="152"/>
      <c r="D766" s="152"/>
      <c r="E766" s="153"/>
      <c r="F766" s="152"/>
      <c r="G766" s="353"/>
      <c r="H766" s="151"/>
      <c r="I766" s="152"/>
      <c r="J766" s="151"/>
      <c r="K766" s="151"/>
      <c r="L766" s="151"/>
      <c r="M766" s="151"/>
      <c r="N766" s="29"/>
      <c r="O766" s="29" t="e">
        <v>#VALUE!</v>
      </c>
      <c r="P766" s="30" t="str">
        <f t="shared" si="12"/>
        <v/>
      </c>
      <c r="Q766" s="10" t="str">
        <f>HYPERLINK("http://kameyamarekihaku.jp/sisi/RekisiHP/kingendai/01/01%20hensen/01-01.html","市史近代・現代ページ　地図でたどる亀山市のうつりかわり")</f>
        <v>市史近代・現代ページ　地図でたどる亀山市のうつりかわり</v>
      </c>
      <c r="R766" s="151"/>
    </row>
    <row r="767" spans="1:18" s="139" customFormat="1" ht="48" customHeight="1" x14ac:dyDescent="0.15">
      <c r="A767" s="142" t="s">
        <v>1952</v>
      </c>
      <c r="B767" s="142">
        <v>19</v>
      </c>
      <c r="C767" s="143" t="s">
        <v>2111</v>
      </c>
      <c r="D767" s="143">
        <v>1877</v>
      </c>
      <c r="E767" s="144" t="s">
        <v>20</v>
      </c>
      <c r="F767" s="143" t="s">
        <v>2112</v>
      </c>
      <c r="G767" s="143"/>
      <c r="H767" s="142"/>
      <c r="I767" s="143"/>
      <c r="J767" s="142"/>
      <c r="K767" s="142"/>
      <c r="L767" s="142"/>
      <c r="M767" s="142"/>
      <c r="N767" s="12" t="s">
        <v>2113</v>
      </c>
      <c r="O767" s="12" t="s">
        <v>2114</v>
      </c>
      <c r="P767" s="13" t="str">
        <f t="shared" si="12"/>
        <v>日本の歴史の中の亀山／近代の亀山／明治維新と亀山／徴兵令／西南戦争に参加した記録</v>
      </c>
      <c r="Q767" s="158"/>
      <c r="R767" s="142"/>
    </row>
    <row r="768" spans="1:18" s="139" customFormat="1" ht="58.5" customHeight="1" x14ac:dyDescent="0.15">
      <c r="A768" s="142" t="s">
        <v>1952</v>
      </c>
      <c r="B768" s="142">
        <v>18</v>
      </c>
      <c r="C768" s="143" t="s">
        <v>2115</v>
      </c>
      <c r="D768" s="143">
        <v>1879</v>
      </c>
      <c r="E768" s="144" t="s">
        <v>20</v>
      </c>
      <c r="F768" s="143"/>
      <c r="G768" s="143" t="s">
        <v>2116</v>
      </c>
      <c r="H768" s="120" t="s">
        <v>464</v>
      </c>
      <c r="I768" s="175" t="s">
        <v>1911</v>
      </c>
      <c r="J768" s="142" t="s">
        <v>2117</v>
      </c>
      <c r="K768" s="142"/>
      <c r="L768" s="142" t="s">
        <v>2118</v>
      </c>
      <c r="M768" s="142"/>
      <c r="N768" s="23"/>
      <c r="O768" s="23" t="e">
        <v>#VALUE!</v>
      </c>
      <c r="P768" s="24" t="str">
        <f t="shared" si="12"/>
        <v/>
      </c>
      <c r="Q768" s="25" t="str">
        <f>HYPERLINK("http:/kameyamarekihaku.jp/sisi/tuusiHP_next/tuusi-index.html#kingendai0202","市史通史編 近代・現代第2章第2節第2項")</f>
        <v>市史通史編 近代・現代第2章第2節第2項</v>
      </c>
      <c r="R768" s="142" t="s">
        <v>2064</v>
      </c>
    </row>
    <row r="769" spans="1:18" s="139" customFormat="1" ht="61.5" customHeight="1" x14ac:dyDescent="0.15">
      <c r="A769" s="145" t="s">
        <v>1952</v>
      </c>
      <c r="B769" s="145">
        <v>18</v>
      </c>
      <c r="C769" s="146" t="s">
        <v>2115</v>
      </c>
      <c r="D769" s="146">
        <v>1879</v>
      </c>
      <c r="E769" s="147" t="s">
        <v>34</v>
      </c>
      <c r="F769" s="146"/>
      <c r="G769" s="146" t="s">
        <v>2119</v>
      </c>
      <c r="H769" s="145" t="s">
        <v>156</v>
      </c>
      <c r="I769" s="146" t="s">
        <v>2120</v>
      </c>
      <c r="J769" s="71" t="str">
        <f>HYPERLINK("http://kameyamarekihaku.jp/sisi/koukoHP/gi/gi.htm?pf=sha4-6.jpg&amp;pn=%E8%83%BD%E8%A4%92%E9%87%8E%E7%8E%8B%E5%A1%9A%E5%8F%A4%E5%A2%B3","日本武尊能褒野墓")</f>
        <v>日本武尊能褒野墓</v>
      </c>
      <c r="K769" s="145"/>
      <c r="L769" s="145" t="s">
        <v>2121</v>
      </c>
      <c r="M769" s="145"/>
      <c r="N769" s="32" t="s">
        <v>2122</v>
      </c>
      <c r="O769" s="32" t="s">
        <v>2123</v>
      </c>
      <c r="P769" s="33" t="str">
        <f t="shared" si="12"/>
        <v>日本の歴史の中の亀山／近代の亀山／亀山の近代文化と日常生活／能褒野古墳の整備と神社</v>
      </c>
      <c r="Q769" s="17" t="str">
        <f>HYPERLINK("http:/kameyamarekihaku.jp/sisi/tuusiHP_next/tuusi-index.html#kinsei0601","市史通史編 近世第6章第1節第1項")</f>
        <v>市史通史編 近世第6章第1節第1項</v>
      </c>
      <c r="R769" s="347" t="s">
        <v>2124</v>
      </c>
    </row>
    <row r="770" spans="1:18" s="139" customFormat="1" ht="59.25" customHeight="1" x14ac:dyDescent="0.15">
      <c r="A770" s="151"/>
      <c r="B770" s="151"/>
      <c r="C770" s="152"/>
      <c r="D770" s="152"/>
      <c r="E770" s="153"/>
      <c r="F770" s="152"/>
      <c r="G770" s="152"/>
      <c r="H770" s="151"/>
      <c r="I770" s="152"/>
      <c r="J770" s="102"/>
      <c r="K770" s="151"/>
      <c r="L770" s="151" t="s">
        <v>2125</v>
      </c>
      <c r="M770" s="151"/>
      <c r="N770" s="29"/>
      <c r="O770" s="29" t="e">
        <v>#VALUE!</v>
      </c>
      <c r="P770" s="30" t="str">
        <f t="shared" si="12"/>
        <v/>
      </c>
      <c r="Q770" s="10" t="str">
        <f>HYPERLINK("http:/kameyamarekihaku.jp/sisi/tuusiHP_next/tuusi-index.html#kingendai0302","市史通史編 近代・現代第3章第2節第1項")</f>
        <v>市史通史編 近代・現代第3章第2節第1項</v>
      </c>
      <c r="R770" s="348"/>
    </row>
    <row r="771" spans="1:18" s="139" customFormat="1" ht="36.75" customHeight="1" x14ac:dyDescent="0.15">
      <c r="A771" s="145" t="s">
        <v>1952</v>
      </c>
      <c r="B771" s="145">
        <v>19</v>
      </c>
      <c r="C771" s="146" t="s">
        <v>2126</v>
      </c>
      <c r="D771" s="146">
        <v>1880</v>
      </c>
      <c r="E771" s="147" t="s">
        <v>20</v>
      </c>
      <c r="F771" s="146" t="s">
        <v>2127</v>
      </c>
      <c r="G771" s="146"/>
      <c r="H771" s="142"/>
      <c r="I771" s="143"/>
      <c r="J771" s="142"/>
      <c r="K771" s="145"/>
      <c r="L771" s="145"/>
      <c r="M771" s="145"/>
      <c r="N771" s="34" t="s">
        <v>2128</v>
      </c>
      <c r="O771" s="34" t="s">
        <v>2093</v>
      </c>
      <c r="P771" s="35" t="str">
        <f t="shared" si="12"/>
        <v>日本の歴史の中の亀山／近代の亀山／立憲国家の成立／自由民権運動</v>
      </c>
      <c r="Q771" s="160"/>
      <c r="R771" s="145"/>
    </row>
    <row r="772" spans="1:18" s="139" customFormat="1" ht="15" customHeight="1" x14ac:dyDescent="0.15">
      <c r="A772" s="347" t="s">
        <v>1952</v>
      </c>
      <c r="B772" s="366">
        <v>19</v>
      </c>
      <c r="C772" s="345" t="s">
        <v>2129</v>
      </c>
      <c r="D772" s="368">
        <v>1880</v>
      </c>
      <c r="E772" s="147" t="s">
        <v>20</v>
      </c>
      <c r="F772" s="345"/>
      <c r="G772" s="345" t="s">
        <v>2130</v>
      </c>
      <c r="H772" s="145" t="s">
        <v>2131</v>
      </c>
      <c r="I772" s="146" t="s">
        <v>1484</v>
      </c>
      <c r="J772" s="71" t="str">
        <f>HYPERLINK("http://kameyamarekihaku.jp/sisi/tuusiHP_next/kochuusei/image/10/gi.htm?pf=1310sh192.JPG&amp;?pn=%E5%86%99%E7%9C%9F192%20%E5%9C%B0%E8%94%B5%E9%99%A2%EF%BC%88%E9%96%A2%E7%94%BA%E6%96%B0%E6%89%80%EF%BC%89","関地蔵院")</f>
        <v>関地蔵院</v>
      </c>
      <c r="K772" s="347" t="s">
        <v>1988</v>
      </c>
      <c r="L772" s="370"/>
      <c r="M772" s="347" t="s">
        <v>2132</v>
      </c>
      <c r="N772" s="310" t="s">
        <v>2133</v>
      </c>
      <c r="O772" s="310" t="s">
        <v>2134</v>
      </c>
      <c r="P772" s="311" t="str">
        <f t="shared" si="12"/>
        <v>日本の歴史の中の亀山／近代の亀山／天皇・皇太子の亀山行幸／明治13年7月11日明治天皇が東町の伊藤市次郎宅に宿泊する</v>
      </c>
      <c r="Q772" s="337" t="str">
        <f>HYPERLINK("http:/kameyamarekihaku.jp/sisi/RekisiHP/kingendai/quiz/meisho.kyuusho/meishou.html","市史近代・現代ページ 遺跡・名勝クイズ")</f>
        <v>市史近代・現代ページ 遺跡・名勝クイズ</v>
      </c>
      <c r="R772" s="347" t="s">
        <v>2135</v>
      </c>
    </row>
    <row r="773" spans="1:18" s="139" customFormat="1" ht="65.45" customHeight="1" x14ac:dyDescent="0.15">
      <c r="A773" s="348"/>
      <c r="B773" s="367"/>
      <c r="C773" s="353"/>
      <c r="D773" s="369"/>
      <c r="E773" s="153" t="s">
        <v>851</v>
      </c>
      <c r="F773" s="353"/>
      <c r="G773" s="353"/>
      <c r="H773" s="151" t="s">
        <v>464</v>
      </c>
      <c r="I773" s="152" t="s">
        <v>2136</v>
      </c>
      <c r="J773" s="151" t="s">
        <v>2137</v>
      </c>
      <c r="K773" s="348"/>
      <c r="L773" s="371"/>
      <c r="M773" s="348"/>
      <c r="N773" s="306"/>
      <c r="O773" s="306" t="e">
        <v>#VALUE!</v>
      </c>
      <c r="P773" s="308" t="str">
        <f t="shared" ref="P773:P836" si="13">IFERROR(HYPERLINK(O773,N773),"")</f>
        <v/>
      </c>
      <c r="Q773" s="339"/>
      <c r="R773" s="348"/>
    </row>
    <row r="774" spans="1:18" s="6" customFormat="1" ht="33.75" customHeight="1" x14ac:dyDescent="0.15">
      <c r="A774" s="142" t="s">
        <v>1952</v>
      </c>
      <c r="B774" s="142">
        <v>19</v>
      </c>
      <c r="C774" s="143" t="s">
        <v>2138</v>
      </c>
      <c r="D774" s="175">
        <v>1881</v>
      </c>
      <c r="E774" s="147" t="s">
        <v>20</v>
      </c>
      <c r="F774" s="175"/>
      <c r="G774" s="196" t="s">
        <v>2139</v>
      </c>
      <c r="H774" s="120" t="s">
        <v>199</v>
      </c>
      <c r="I774" s="175" t="s">
        <v>1458</v>
      </c>
      <c r="J774" s="120"/>
      <c r="K774" s="120" t="s">
        <v>2140</v>
      </c>
      <c r="L774" s="120" t="s">
        <v>2141</v>
      </c>
      <c r="M774" s="120"/>
      <c r="N774" s="12"/>
      <c r="O774" s="12" t="e">
        <v>#VALUE!</v>
      </c>
      <c r="P774" s="13" t="str">
        <f t="shared" si="13"/>
        <v/>
      </c>
      <c r="Q774" s="192"/>
      <c r="R774" s="120" t="s">
        <v>2142</v>
      </c>
    </row>
    <row r="775" spans="1:18" s="139" customFormat="1" ht="28.5" customHeight="1" x14ac:dyDescent="0.15">
      <c r="A775" s="145" t="s">
        <v>1952</v>
      </c>
      <c r="B775" s="145">
        <v>19</v>
      </c>
      <c r="C775" s="146" t="s">
        <v>2143</v>
      </c>
      <c r="D775" s="146">
        <v>1881</v>
      </c>
      <c r="E775" s="147" t="s">
        <v>20</v>
      </c>
      <c r="F775" s="146" t="s">
        <v>2144</v>
      </c>
      <c r="G775" s="146"/>
      <c r="H775" s="145"/>
      <c r="I775" s="146"/>
      <c r="J775" s="145"/>
      <c r="K775" s="145"/>
      <c r="L775" s="145"/>
      <c r="M775" s="145"/>
      <c r="N775" s="32" t="s">
        <v>2145</v>
      </c>
      <c r="O775" s="32" t="s">
        <v>2093</v>
      </c>
      <c r="P775" s="33" t="str">
        <f t="shared" si="13"/>
        <v>日本の歴史の中の亀山／近代の亀山／立憲国家の成立／自由民権運動</v>
      </c>
      <c r="Q775" s="17" t="str">
        <f>HYPERLINK("http:/kameyamarekihaku.jp/sisi/tuusiHP_next/tuusi-index.html#kingendai0102","市史通史編 近代・現代第1章第2節第4項")</f>
        <v>市史通史編 近代・現代第1章第2節第4項</v>
      </c>
      <c r="R775" s="145" t="s">
        <v>2040</v>
      </c>
    </row>
    <row r="776" spans="1:18" s="139" customFormat="1" ht="28.5" customHeight="1" x14ac:dyDescent="0.15">
      <c r="A776" s="151"/>
      <c r="B776" s="151"/>
      <c r="C776" s="152"/>
      <c r="D776" s="152"/>
      <c r="E776" s="153"/>
      <c r="F776" s="152"/>
      <c r="G776" s="152"/>
      <c r="H776" s="151"/>
      <c r="I776" s="152"/>
      <c r="J776" s="151"/>
      <c r="K776" s="151"/>
      <c r="L776" s="151"/>
      <c r="M776" s="151"/>
      <c r="N776" s="29" t="s">
        <v>2146</v>
      </c>
      <c r="O776" s="29" t="s">
        <v>2147</v>
      </c>
      <c r="P776" s="30" t="str">
        <f t="shared" si="13"/>
        <v>日本の歴史の中の亀山／近代の亀山／立憲国家の成立／帝国議会と貴族院議員石川成秀</v>
      </c>
      <c r="Q776" s="10"/>
      <c r="R776" s="151"/>
    </row>
    <row r="777" spans="1:18" s="139" customFormat="1" ht="44.25" customHeight="1" x14ac:dyDescent="0.15">
      <c r="A777" s="142" t="s">
        <v>1952</v>
      </c>
      <c r="B777" s="142">
        <v>19</v>
      </c>
      <c r="C777" s="143" t="s">
        <v>2148</v>
      </c>
      <c r="D777" s="143">
        <v>1882</v>
      </c>
      <c r="E777" s="144" t="s">
        <v>20</v>
      </c>
      <c r="F777" s="143"/>
      <c r="G777" s="161" t="s">
        <v>2149</v>
      </c>
      <c r="H777" s="142" t="s">
        <v>464</v>
      </c>
      <c r="I777" s="143" t="s">
        <v>1157</v>
      </c>
      <c r="J777" s="142" t="s">
        <v>2150</v>
      </c>
      <c r="K777" s="142"/>
      <c r="L777" s="142"/>
      <c r="M777" s="142"/>
      <c r="N777" s="12" t="s">
        <v>2151</v>
      </c>
      <c r="O777" s="12" t="e">
        <v>#VALUE!</v>
      </c>
      <c r="P777" s="13" t="str">
        <f t="shared" si="13"/>
        <v/>
      </c>
      <c r="Q777" s="158"/>
      <c r="R777" s="142" t="s">
        <v>2152</v>
      </c>
    </row>
    <row r="778" spans="1:18" s="139" customFormat="1" ht="43.5" customHeight="1" x14ac:dyDescent="0.15">
      <c r="A778" s="142" t="s">
        <v>1952</v>
      </c>
      <c r="B778" s="142">
        <v>19</v>
      </c>
      <c r="C778" s="143" t="s">
        <v>2153</v>
      </c>
      <c r="D778" s="143">
        <v>1883</v>
      </c>
      <c r="E778" s="147" t="s">
        <v>20</v>
      </c>
      <c r="F778" s="143"/>
      <c r="G778" s="143" t="s">
        <v>2154</v>
      </c>
      <c r="H778" s="142"/>
      <c r="I778" s="143"/>
      <c r="J778" s="142"/>
      <c r="K778" s="142"/>
      <c r="L778" s="142"/>
      <c r="M778" s="142"/>
      <c r="N778" s="12" t="s">
        <v>2155</v>
      </c>
      <c r="O778" s="12" t="s">
        <v>2156</v>
      </c>
      <c r="P778" s="13" t="str">
        <f t="shared" si="13"/>
        <v>日本の歴史の中の亀山／近代の亀山／明治維新と亀山／消防組</v>
      </c>
      <c r="Q778" s="158"/>
      <c r="R778" s="142"/>
    </row>
    <row r="779" spans="1:18" s="139" customFormat="1" ht="28.5" customHeight="1" x14ac:dyDescent="0.15">
      <c r="A779" s="142" t="s">
        <v>1952</v>
      </c>
      <c r="B779" s="142">
        <v>19</v>
      </c>
      <c r="C779" s="143" t="s">
        <v>2157</v>
      </c>
      <c r="D779" s="143">
        <v>1885</v>
      </c>
      <c r="E779" s="144" t="s">
        <v>20</v>
      </c>
      <c r="F779" s="143" t="s">
        <v>2158</v>
      </c>
      <c r="G779" s="143"/>
      <c r="H779" s="142"/>
      <c r="I779" s="143"/>
      <c r="J779" s="120"/>
      <c r="K779" s="142"/>
      <c r="L779" s="142"/>
      <c r="M779" s="142"/>
      <c r="N779" s="12"/>
      <c r="O779" s="12" t="e">
        <v>#VALUE!</v>
      </c>
      <c r="P779" s="13" t="str">
        <f t="shared" si="13"/>
        <v/>
      </c>
      <c r="Q779" s="192"/>
      <c r="R779" s="142"/>
    </row>
    <row r="780" spans="1:18" s="139" customFormat="1" ht="28.5" customHeight="1" x14ac:dyDescent="0.15">
      <c r="A780" s="142" t="s">
        <v>1952</v>
      </c>
      <c r="B780" s="142">
        <v>19</v>
      </c>
      <c r="C780" s="143" t="s">
        <v>2157</v>
      </c>
      <c r="D780" s="143">
        <v>1885</v>
      </c>
      <c r="E780" s="144" t="s">
        <v>20</v>
      </c>
      <c r="F780" s="143"/>
      <c r="G780" s="143" t="s">
        <v>2159</v>
      </c>
      <c r="H780" s="142" t="s">
        <v>2160</v>
      </c>
      <c r="I780" s="143" t="s">
        <v>2161</v>
      </c>
      <c r="J780" s="120" t="s">
        <v>2162</v>
      </c>
      <c r="K780" s="142"/>
      <c r="L780" s="142"/>
      <c r="M780" s="142"/>
      <c r="N780" s="32" t="s">
        <v>2163</v>
      </c>
      <c r="O780" s="32" t="s">
        <v>2164</v>
      </c>
      <c r="P780" s="33" t="str">
        <f t="shared" si="13"/>
        <v>学校のあゆみ／野登小学校のれきし</v>
      </c>
      <c r="Q780" s="17" t="str">
        <f>HYPERLINK("http://kameyamarekihaku.jp/sisi/RekisiHP/kingendai/saigai/saigai-meiji/saigai-meiji.html","市史近代・現代ページ　亀山の災害　明治の災害一覧表")</f>
        <v>市史近代・現代ページ　亀山の災害　明治の災害一覧表</v>
      </c>
      <c r="R780" s="142" t="s">
        <v>2165</v>
      </c>
    </row>
    <row r="781" spans="1:18" s="139" customFormat="1" ht="49.5" customHeight="1" x14ac:dyDescent="0.15">
      <c r="A781" s="145" t="s">
        <v>1952</v>
      </c>
      <c r="B781" s="145">
        <v>19</v>
      </c>
      <c r="C781" s="146" t="s">
        <v>2157</v>
      </c>
      <c r="D781" s="146">
        <v>1885</v>
      </c>
      <c r="E781" s="147" t="s">
        <v>20</v>
      </c>
      <c r="F781" s="146"/>
      <c r="G781" s="146" t="s">
        <v>2166</v>
      </c>
      <c r="H781" s="145" t="s">
        <v>156</v>
      </c>
      <c r="I781" s="146" t="s">
        <v>2167</v>
      </c>
      <c r="J781" s="71" t="str">
        <f>HYPERLINK("http://kameyamarekihaku.jp/sisi/MinzokuHP/jirei/bunrui6/data6-3/gi.htm?pf=3101.jpg&amp;pn=%E8%83%BD%E8%A4%92%E9%87%8E%E7%A5%9E%E7%A4%BE%EF%BC%88%E7%94%B0%E6%9D%91%E7%94%BA%EF%BC%89","能褒野神社")</f>
        <v>能褒野神社</v>
      </c>
      <c r="K781" s="145"/>
      <c r="L781" s="71" t="str">
        <f>HYPERLINK("http:/kameyamarekihaku.jp/sisi/tuusiHP_next/kingendai/image/03/gi.htm?pf=3026sh003-03.JPG&amp;?pn=%E8%83%BD%E8%A4%92%E9%87%8E%E5%A2%93","画像史料：褒野墓に整備された遥拝所（古写真）（明治10年代）")</f>
        <v>画像史料：褒野墓に整備された遥拝所（古写真）（明治10年代）</v>
      </c>
      <c r="M781" s="145"/>
      <c r="N781" s="74" t="s">
        <v>2168</v>
      </c>
      <c r="O781" s="32" t="s">
        <v>2123</v>
      </c>
      <c r="P781" s="33" t="str">
        <f t="shared" si="13"/>
        <v>日本の歴史の中の亀山／近代の亀山／亀山の近代文化と日常生活／能褒野古墳の整備と神社</v>
      </c>
      <c r="Q781" s="82" t="str">
        <f>HYPERLINK("http:/kameyamarekihaku.jp/sisi/tuusiHP_next/tuusi-index.html#kingendai0302","市史通史編 近代・現代第3章第2節第1項")</f>
        <v>市史通史編 近代・現代第3章第2節第1項</v>
      </c>
      <c r="R781" s="160" t="s">
        <v>2040</v>
      </c>
    </row>
    <row r="782" spans="1:18" s="139" customFormat="1" ht="28.5" customHeight="1" x14ac:dyDescent="0.15">
      <c r="A782" s="142" t="s">
        <v>1952</v>
      </c>
      <c r="B782" s="142">
        <v>19</v>
      </c>
      <c r="C782" s="143" t="s">
        <v>2169</v>
      </c>
      <c r="D782" s="143">
        <v>1886</v>
      </c>
      <c r="E782" s="144" t="s">
        <v>59</v>
      </c>
      <c r="F782" s="143" t="s">
        <v>2170</v>
      </c>
      <c r="G782" s="143"/>
      <c r="H782" s="142"/>
      <c r="I782" s="143"/>
      <c r="J782" s="142"/>
      <c r="K782" s="142"/>
      <c r="L782" s="142"/>
      <c r="M782" s="142"/>
      <c r="N782" s="12"/>
      <c r="O782" s="12" t="e">
        <v>#VALUE!</v>
      </c>
      <c r="P782" s="13" t="str">
        <f t="shared" si="13"/>
        <v/>
      </c>
      <c r="Q782" s="158"/>
      <c r="R782" s="142"/>
    </row>
    <row r="783" spans="1:18" s="139" customFormat="1" ht="28.5" customHeight="1" x14ac:dyDescent="0.15">
      <c r="A783" s="142" t="s">
        <v>1952</v>
      </c>
      <c r="B783" s="142">
        <v>18</v>
      </c>
      <c r="C783" s="143" t="s">
        <v>2169</v>
      </c>
      <c r="D783" s="143">
        <v>1886</v>
      </c>
      <c r="E783" s="144" t="s">
        <v>34</v>
      </c>
      <c r="F783" s="143"/>
      <c r="G783" s="227" t="s">
        <v>2171</v>
      </c>
      <c r="H783" s="142" t="s">
        <v>464</v>
      </c>
      <c r="I783" s="143" t="s">
        <v>1833</v>
      </c>
      <c r="J783" s="142" t="s">
        <v>2172</v>
      </c>
      <c r="K783" s="142"/>
      <c r="L783" s="142"/>
      <c r="M783" s="142"/>
      <c r="N783" s="23"/>
      <c r="O783" s="23" t="e">
        <v>#VALUE!</v>
      </c>
      <c r="P783" s="24" t="str">
        <f t="shared" si="13"/>
        <v/>
      </c>
      <c r="Q783" s="25" t="str">
        <f>HYPERLINK("http:/kameyamarekihaku.jp/sisi/RekisiHP/kingendai/quiz/meisho.kyuusho/meishou.html","市史近代・現代ページ 遺跡・名勝クイズ")</f>
        <v>市史近代・現代ページ 遺跡・名勝クイズ</v>
      </c>
      <c r="R783" s="142" t="s">
        <v>2135</v>
      </c>
    </row>
    <row r="784" spans="1:18" s="139" customFormat="1" ht="63.75" customHeight="1" x14ac:dyDescent="0.15">
      <c r="A784" s="142" t="s">
        <v>1952</v>
      </c>
      <c r="B784" s="142">
        <v>19</v>
      </c>
      <c r="C784" s="143" t="s">
        <v>2173</v>
      </c>
      <c r="D784" s="143">
        <v>1887</v>
      </c>
      <c r="E784" s="144" t="s">
        <v>20</v>
      </c>
      <c r="F784" s="143"/>
      <c r="G784" s="227" t="s">
        <v>2174</v>
      </c>
      <c r="H784" s="142"/>
      <c r="I784" s="143"/>
      <c r="J784" s="142"/>
      <c r="K784" s="142"/>
      <c r="L784" s="142"/>
      <c r="M784" s="142"/>
      <c r="N784" s="23" t="s">
        <v>2175</v>
      </c>
      <c r="O784" s="23" t="s">
        <v>2176</v>
      </c>
      <c r="P784" s="24" t="str">
        <f t="shared" si="13"/>
        <v>日本の歴史の中の亀山／近代の亀山／産業革命の進展とその後の産業／国鉄の町亀山</v>
      </c>
      <c r="Q784" s="25" t="str">
        <f>HYPERLINK("http:/kameyamarekihaku.jp/sisi/tuusiHP_next/tuusi-index.html#kingendai0204","市史通史編 近代・現代第2章第4節")</f>
        <v>市史通史編 近代・現代第2章第4節</v>
      </c>
      <c r="R784" s="142" t="s">
        <v>2177</v>
      </c>
    </row>
    <row r="785" spans="1:18" s="139" customFormat="1" ht="50.25" customHeight="1" x14ac:dyDescent="0.15">
      <c r="A785" s="145" t="s">
        <v>1952</v>
      </c>
      <c r="B785" s="145">
        <v>19</v>
      </c>
      <c r="C785" s="146" t="s">
        <v>2178</v>
      </c>
      <c r="D785" s="146">
        <v>1887</v>
      </c>
      <c r="E785" s="147" t="s">
        <v>20</v>
      </c>
      <c r="F785" s="146"/>
      <c r="G785" s="149" t="s">
        <v>2179</v>
      </c>
      <c r="H785" s="145" t="s">
        <v>464</v>
      </c>
      <c r="I785" s="146" t="s">
        <v>2180</v>
      </c>
      <c r="J785" s="71" t="str">
        <f>HYPERLINK("http://kameyamarekihaku.jp/sisi/tuusiHP_next/kingendai/image/05/gi.htm?pf=3040sh005-01.JPG&amp;?pn=%20%E7%94%B0%E4%B8%AD%E8%A3%BD%E7%B5%B2%E5%A0%B4%EF%BC%88%E6%98%8E%E6%B2%BB20%E5%B9%B4%E4%BB%A3%EF%BC%89","田中製絲場")</f>
        <v>田中製絲場</v>
      </c>
      <c r="K785" s="145" t="s">
        <v>2181</v>
      </c>
      <c r="L785" s="102" t="str">
        <f>HYPERLINK("http://kameyamarekihaku.jp/sisi/tuusiHP_next/kingendai/image/05/gi.htm?pf=3041sh005-02.JPG&amp;?pn=%E7%94%B0%E4%B8%AD%E8%A3%BD%E7%B5%B2%E5%A0%B4%E8%A3%BD%E5%93%81%E3%83%A9%E3%83%99%E3%83%AB","田中製絲ラベル")</f>
        <v>田中製絲ラベル</v>
      </c>
      <c r="M785" s="145"/>
      <c r="N785" s="228" t="s">
        <v>2182</v>
      </c>
      <c r="O785" s="228" t="s">
        <v>2183</v>
      </c>
      <c r="P785" s="229" t="str">
        <f t="shared" si="13"/>
        <v>日本の歴史の中の亀山／近代の亀山／産業革命の進展とその後の産業／亀山の製糸場</v>
      </c>
      <c r="Q785" s="25" t="str">
        <f>HYPERLINK("http:/kameyamarekihaku.jp/sisi/tuusiHP_next/tuusi-index.html#kingendai0502","市史通史編 近代・現代第5章第2節第1項")</f>
        <v>市史通史編 近代・現代第5章第2節第1項</v>
      </c>
      <c r="R785" s="160" t="s">
        <v>2184</v>
      </c>
    </row>
    <row r="786" spans="1:18" s="139" customFormat="1" ht="55.5" customHeight="1" x14ac:dyDescent="0.15">
      <c r="A786" s="142" t="s">
        <v>1952</v>
      </c>
      <c r="B786" s="142">
        <v>19</v>
      </c>
      <c r="C786" s="143" t="s">
        <v>2185</v>
      </c>
      <c r="D786" s="143">
        <v>1888</v>
      </c>
      <c r="E786" s="144" t="s">
        <v>20</v>
      </c>
      <c r="F786" s="143"/>
      <c r="G786" s="143" t="s">
        <v>2186</v>
      </c>
      <c r="H786" s="142"/>
      <c r="I786" s="143"/>
      <c r="J786" s="142"/>
      <c r="K786" s="142"/>
      <c r="L786" s="142"/>
      <c r="M786" s="142"/>
      <c r="N786" s="12"/>
      <c r="O786" s="12" t="e">
        <v>#VALUE!</v>
      </c>
      <c r="P786" s="13" t="str">
        <f t="shared" si="13"/>
        <v/>
      </c>
      <c r="Q786" s="158"/>
      <c r="R786" s="142" t="s">
        <v>2187</v>
      </c>
    </row>
    <row r="787" spans="1:18" s="139" customFormat="1" ht="28.5" customHeight="1" x14ac:dyDescent="0.15">
      <c r="A787" s="142" t="s">
        <v>1952</v>
      </c>
      <c r="B787" s="142">
        <v>19</v>
      </c>
      <c r="C787" s="143" t="s">
        <v>2188</v>
      </c>
      <c r="D787" s="143">
        <v>1889</v>
      </c>
      <c r="E787" s="144" t="s">
        <v>20</v>
      </c>
      <c r="F787" s="161" t="s">
        <v>2189</v>
      </c>
      <c r="G787" s="143"/>
      <c r="H787" s="142"/>
      <c r="I787" s="143"/>
      <c r="J787" s="142"/>
      <c r="K787" s="142"/>
      <c r="L787" s="142"/>
      <c r="M787" s="142"/>
      <c r="N787" s="12"/>
      <c r="O787" s="12" t="e">
        <v>#VALUE!</v>
      </c>
      <c r="P787" s="13" t="str">
        <f t="shared" si="13"/>
        <v/>
      </c>
      <c r="Q787" s="158"/>
      <c r="R787" s="142"/>
    </row>
    <row r="788" spans="1:18" s="139" customFormat="1" ht="100.5" customHeight="1" x14ac:dyDescent="0.15">
      <c r="A788" s="142" t="s">
        <v>1952</v>
      </c>
      <c r="B788" s="142">
        <v>19</v>
      </c>
      <c r="C788" s="143" t="s">
        <v>2188</v>
      </c>
      <c r="D788" s="143">
        <v>1889</v>
      </c>
      <c r="E788" s="144" t="s">
        <v>20</v>
      </c>
      <c r="F788" s="143"/>
      <c r="G788" s="143" t="s">
        <v>2190</v>
      </c>
      <c r="H788" s="142" t="s">
        <v>2191</v>
      </c>
      <c r="I788" s="143"/>
      <c r="J788" s="142"/>
      <c r="K788" s="142" t="s">
        <v>2192</v>
      </c>
      <c r="L788" s="142"/>
      <c r="M788" s="142"/>
      <c r="N788" s="12" t="s">
        <v>2175</v>
      </c>
      <c r="O788" s="12" t="s">
        <v>2176</v>
      </c>
      <c r="P788" s="13" t="str">
        <f t="shared" si="13"/>
        <v>日本の歴史の中の亀山／近代の亀山／産業革命の進展とその後の産業／国鉄の町亀山</v>
      </c>
      <c r="Q788" s="158"/>
      <c r="R788" s="142" t="s">
        <v>2187</v>
      </c>
    </row>
    <row r="789" spans="1:18" s="139" customFormat="1" ht="30" customHeight="1" x14ac:dyDescent="0.15">
      <c r="A789" s="145" t="s">
        <v>1952</v>
      </c>
      <c r="B789" s="145">
        <v>19</v>
      </c>
      <c r="C789" s="146" t="s">
        <v>2188</v>
      </c>
      <c r="D789" s="146">
        <v>1889</v>
      </c>
      <c r="E789" s="147" t="s">
        <v>20</v>
      </c>
      <c r="F789" s="146"/>
      <c r="G789" s="345" t="s">
        <v>2193</v>
      </c>
      <c r="H789" s="160" t="s">
        <v>2194</v>
      </c>
      <c r="I789" s="146"/>
      <c r="J789" s="145"/>
      <c r="K789" s="145"/>
      <c r="L789" s="145"/>
      <c r="M789" s="145"/>
      <c r="N789" s="310" t="s">
        <v>2195</v>
      </c>
      <c r="O789" s="310" t="s">
        <v>2196</v>
      </c>
      <c r="P789" s="311" t="str">
        <f t="shared" si="13"/>
        <v>日本の歴史の中の亀山／近代の亀山／立憲国家の成立／町村制施行</v>
      </c>
      <c r="Q789" s="17" t="str">
        <f>HYPERLINK("http://kameyamarekihaku.jp/sisi/RekisiHP/kingendai/01/02%20hensen/01-02.html","市史近代・現代ページ　地図でたどる亀山市のうつりかわり")</f>
        <v>市史近代・現代ページ　地図でたどる亀山市のうつりかわり</v>
      </c>
      <c r="R789" s="347" t="s">
        <v>2197</v>
      </c>
    </row>
    <row r="790" spans="1:18" s="139" customFormat="1" ht="32.25" customHeight="1" x14ac:dyDescent="0.15">
      <c r="A790" s="136"/>
      <c r="B790" s="136"/>
      <c r="C790" s="137"/>
      <c r="D790" s="137"/>
      <c r="E790" s="138"/>
      <c r="F790" s="137"/>
      <c r="G790" s="346"/>
      <c r="H790" s="79"/>
      <c r="I790" s="137"/>
      <c r="J790" s="136"/>
      <c r="K790" s="136"/>
      <c r="L790" s="136"/>
      <c r="M790" s="136"/>
      <c r="N790" s="317"/>
      <c r="O790" s="317" t="e">
        <v>#VALUE!</v>
      </c>
      <c r="P790" s="318" t="str">
        <f t="shared" si="13"/>
        <v/>
      </c>
      <c r="Q790" s="21" t="str">
        <f>HYPERLINK("http:/kameyamarekihaku.jp/sisi/RekisiHP/kingendai/01/m22siryo/m22.html","市史近代・現代ページ　明治22(1889)年の関係資料")</f>
        <v>市史近代・現代ページ　明治22(1889)年の関係資料</v>
      </c>
      <c r="R790" s="332"/>
    </row>
    <row r="791" spans="1:18" s="139" customFormat="1" ht="30.75" customHeight="1" x14ac:dyDescent="0.15">
      <c r="A791" s="136"/>
      <c r="B791" s="136"/>
      <c r="C791" s="137"/>
      <c r="D791" s="137"/>
      <c r="E791" s="138"/>
      <c r="F791" s="137"/>
      <c r="G791" s="346"/>
      <c r="H791" s="79"/>
      <c r="I791" s="137"/>
      <c r="J791" s="136"/>
      <c r="K791" s="136"/>
      <c r="L791" s="136"/>
      <c r="M791" s="136"/>
      <c r="N791" s="19"/>
      <c r="O791" s="19" t="e">
        <v>#VALUE!</v>
      </c>
      <c r="P791" s="20" t="str">
        <f t="shared" si="13"/>
        <v/>
      </c>
      <c r="Q791" s="21" t="str">
        <f>HYPERLINK("http:/kameyamarekihaku.jp/sisi/RekisiHP/kingendai/01/m29siryo/m29.html","市史近代・現代ページ　明治29(1896)年の関係資料")</f>
        <v>市史近代・現代ページ　明治29(1896)年の関係資料</v>
      </c>
      <c r="R791" s="332"/>
    </row>
    <row r="792" spans="1:18" s="139" customFormat="1" ht="36" customHeight="1" x14ac:dyDescent="0.15">
      <c r="A792" s="151"/>
      <c r="B792" s="151"/>
      <c r="C792" s="152"/>
      <c r="D792" s="152"/>
      <c r="E792" s="153"/>
      <c r="F792" s="152"/>
      <c r="G792" s="353"/>
      <c r="H792" s="157"/>
      <c r="I792" s="152"/>
      <c r="J792" s="151"/>
      <c r="K792" s="151"/>
      <c r="L792" s="151"/>
      <c r="M792" s="151"/>
      <c r="N792" s="29"/>
      <c r="O792" s="29" t="e">
        <v>#VALUE!</v>
      </c>
      <c r="P792" s="30" t="str">
        <f t="shared" si="13"/>
        <v/>
      </c>
      <c r="Q792" s="10" t="str">
        <f>HYPERLINK("http:/kameyamarekihaku.jp/sisi/tuusiHP_next/tuusi-index.html#kingendai0401","市史通史編 近代・現代第4章第1節")</f>
        <v>市史通史編 近代・現代第4章第1節</v>
      </c>
      <c r="R792" s="348"/>
    </row>
    <row r="793" spans="1:18" s="139" customFormat="1" ht="29.25" customHeight="1" x14ac:dyDescent="0.15">
      <c r="A793" s="142" t="s">
        <v>1952</v>
      </c>
      <c r="B793" s="142">
        <v>19</v>
      </c>
      <c r="C793" s="143" t="s">
        <v>2198</v>
      </c>
      <c r="D793" s="143">
        <v>1890</v>
      </c>
      <c r="E793" s="144" t="s">
        <v>20</v>
      </c>
      <c r="F793" s="143" t="s">
        <v>2199</v>
      </c>
      <c r="G793" s="143"/>
      <c r="H793" s="142"/>
      <c r="I793" s="143"/>
      <c r="J793" s="142"/>
      <c r="K793" s="142"/>
      <c r="L793" s="142"/>
      <c r="M793" s="142"/>
      <c r="N793" s="29" t="s">
        <v>2146</v>
      </c>
      <c r="O793" s="29" t="s">
        <v>2147</v>
      </c>
      <c r="P793" s="30" t="str">
        <f t="shared" si="13"/>
        <v>日本の歴史の中の亀山／近代の亀山／立憲国家の成立／帝国議会と貴族院議員石川成秀</v>
      </c>
      <c r="Q793" s="10" t="str">
        <f>HYPERLINK("http:/kameyamarekihaku.jp/sisi/tuusiHP_next/tuusi-index.html#kingendai0401","市史通史編 近代・現代第4章第1節")</f>
        <v>市史通史編 近代・現代第4章第1節</v>
      </c>
      <c r="R793" s="142" t="s">
        <v>2040</v>
      </c>
    </row>
    <row r="794" spans="1:18" s="139" customFormat="1" ht="17.25" customHeight="1" x14ac:dyDescent="0.15">
      <c r="A794" s="145" t="s">
        <v>1952</v>
      </c>
      <c r="B794" s="145">
        <v>19</v>
      </c>
      <c r="C794" s="146" t="s">
        <v>2200</v>
      </c>
      <c r="D794" s="146">
        <v>1890</v>
      </c>
      <c r="E794" s="147" t="s">
        <v>20</v>
      </c>
      <c r="F794" s="146"/>
      <c r="G794" s="345" t="s">
        <v>2201</v>
      </c>
      <c r="H794" s="145" t="s">
        <v>1473</v>
      </c>
      <c r="I794" s="146" t="s">
        <v>2202</v>
      </c>
      <c r="J794" s="145" t="s">
        <v>2203</v>
      </c>
      <c r="K794" s="145" t="s">
        <v>2204</v>
      </c>
      <c r="L794" s="76" t="str">
        <f>HYPERLINK("http:/kameyamarekihaku.jp/sisi/tuusiHP_next/kingendai/image/02/gi.htm?pf=3021sh002-04.JPG&amp;?pn=%20%E6%98%8E%E6%B2%BB%E6%9C%AB%E6%9C%9F%E3%81%AE%E4%BA%80%E5%B1%B1%E9%A7%85%E6%A7%8B%E5%86%85","明治末期の亀山駅構内（古写真）")</f>
        <v>明治末期の亀山駅構内（古写真）</v>
      </c>
      <c r="M794" s="145" t="s">
        <v>2205</v>
      </c>
      <c r="N794" s="310" t="s">
        <v>2175</v>
      </c>
      <c r="O794" s="310" t="s">
        <v>2176</v>
      </c>
      <c r="P794" s="311" t="str">
        <f t="shared" si="13"/>
        <v>日本の歴史の中の亀山／近代の亀山／産業革命の進展とその後の産業／国鉄の町亀山</v>
      </c>
      <c r="Q794" s="71" t="str">
        <f>HYPERLINK("http:/kameyamarekihaku.jp/sisi/tuusiHP_next/kingendai/image/02/gi.htm?pf=3017sh002-02.JPG&amp;?pn=%E5%86%99%E7%9C%9F2-2%20%E9%96%A2%E8%A5%BF%E9%89%84%E9%81%93%EF%BC%91%EF%BC%A2%EF%BC%91%E8%92%B8%E6%B0%97%E6%A9%9F%E9%96%A2%E8%BB%8A","関西鉄道１B1蒸気機関車")</f>
        <v>関西鉄道１B1蒸気機関車</v>
      </c>
      <c r="R794" s="347" t="s">
        <v>2206</v>
      </c>
    </row>
    <row r="795" spans="1:18" s="139" customFormat="1" ht="59.25" customHeight="1" x14ac:dyDescent="0.15">
      <c r="A795" s="136"/>
      <c r="B795" s="136"/>
      <c r="C795" s="137"/>
      <c r="D795" s="137"/>
      <c r="E795" s="138"/>
      <c r="F795" s="137"/>
      <c r="G795" s="346"/>
      <c r="H795" s="136"/>
      <c r="I795" s="137"/>
      <c r="J795" s="151" t="s">
        <v>2207</v>
      </c>
      <c r="K795" s="136"/>
      <c r="L795" s="151"/>
      <c r="M795" s="136"/>
      <c r="N795" s="306"/>
      <c r="O795" s="306" t="e">
        <v>#VALUE!</v>
      </c>
      <c r="P795" s="308" t="str">
        <f t="shared" si="13"/>
        <v/>
      </c>
      <c r="Q795" s="76" t="str">
        <f>HYPERLINK("http:/kameyamarekihaku.jp/sisi/RekisiHP/kingendai/quiz/tetudo/tetudo.html","市史近代・現代ページ 鉄道クイズ")</f>
        <v>市史近代・現代ページ 鉄道クイズ</v>
      </c>
      <c r="R795" s="348"/>
    </row>
    <row r="796" spans="1:18" s="139" customFormat="1" ht="19.5" customHeight="1" x14ac:dyDescent="0.15">
      <c r="A796" s="145" t="s">
        <v>1952</v>
      </c>
      <c r="B796" s="145">
        <v>19</v>
      </c>
      <c r="C796" s="146" t="s">
        <v>2208</v>
      </c>
      <c r="D796" s="146">
        <v>1891</v>
      </c>
      <c r="E796" s="147" t="s">
        <v>20</v>
      </c>
      <c r="F796" s="146"/>
      <c r="G796" s="345" t="s">
        <v>2209</v>
      </c>
      <c r="H796" s="145" t="s">
        <v>2210</v>
      </c>
      <c r="I796" s="146" t="s">
        <v>2211</v>
      </c>
      <c r="J796" s="145" t="s">
        <v>2212</v>
      </c>
      <c r="K796" s="145"/>
      <c r="L796" s="71" t="str">
        <f>HYPERLINK("http:/kameyamarekihaku.jp/sisi/tuusiHP_next/kingendai/image/02/gi.htm?pf=3018zu002-02.JPG&amp;?pn=%E5%9B%B32-2%20%E9%96%A2%E8%A5%BF%E9%89%84%E9%81%93%E7%B7%9A%E8%B7%AF%E5%9B%B3","関西鉄道路線図")</f>
        <v>関西鉄道路線図</v>
      </c>
      <c r="M796" s="145" t="s">
        <v>2213</v>
      </c>
      <c r="N796" s="310" t="s">
        <v>2175</v>
      </c>
      <c r="O796" s="310" t="s">
        <v>2176</v>
      </c>
      <c r="P796" s="311" t="str">
        <f t="shared" si="13"/>
        <v>日本の歴史の中の亀山／近代の亀山／産業革命の進展とその後の産業／国鉄の町亀山</v>
      </c>
      <c r="Q796" s="337" t="str">
        <f>HYPERLINK("http:/kameyamarekihaku.jp/sisi/RekisiHP/kingendai/quiz/tetudo/tetudo.html","市史近代・現代ページ 鉄道クイズ")</f>
        <v>市史近代・現代ページ 鉄道クイズ</v>
      </c>
      <c r="R796" s="347" t="s">
        <v>2214</v>
      </c>
    </row>
    <row r="797" spans="1:18" s="139" customFormat="1" ht="33.75" customHeight="1" x14ac:dyDescent="0.15">
      <c r="A797" s="151"/>
      <c r="B797" s="151"/>
      <c r="C797" s="152"/>
      <c r="D797" s="152"/>
      <c r="E797" s="153"/>
      <c r="F797" s="152"/>
      <c r="G797" s="353"/>
      <c r="H797" s="151"/>
      <c r="I797" s="152"/>
      <c r="J797" s="102"/>
      <c r="K797" s="151"/>
      <c r="L797" s="157" t="s">
        <v>2215</v>
      </c>
      <c r="M797" s="151"/>
      <c r="N797" s="306"/>
      <c r="O797" s="306" t="e">
        <v>#VALUE!</v>
      </c>
      <c r="P797" s="308" t="str">
        <f t="shared" si="13"/>
        <v/>
      </c>
      <c r="Q797" s="339"/>
      <c r="R797" s="348"/>
    </row>
    <row r="798" spans="1:18" s="139" customFormat="1" ht="28.5" customHeight="1" x14ac:dyDescent="0.15">
      <c r="A798" s="142" t="s">
        <v>1952</v>
      </c>
      <c r="B798" s="142">
        <v>19</v>
      </c>
      <c r="C798" s="143" t="s">
        <v>2216</v>
      </c>
      <c r="D798" s="143">
        <v>1893</v>
      </c>
      <c r="E798" s="144" t="s">
        <v>20</v>
      </c>
      <c r="F798" s="143"/>
      <c r="G798" s="143" t="s">
        <v>2217</v>
      </c>
      <c r="H798" s="142" t="s">
        <v>464</v>
      </c>
      <c r="I798" s="143" t="s">
        <v>2180</v>
      </c>
      <c r="J798" s="82" t="str">
        <f>HYPERLINK("http://kameyamarekihaku.jp/sisi/tuusiHP_next/kingendai/image/05/gi.htm?pf=3040sh005-01.JPG&amp;?pn=%20%E7%94%B0%E4%B8%AD%E8%A3%BD%E7%B5%B2%E5%A0%B4%EF%BC%88%E6%98%8E%E6%B2%BB20%E5%B9%B4%E4%BB%A3%EF%BC%89","田中製絲場")</f>
        <v>田中製絲場</v>
      </c>
      <c r="K798" s="142" t="s">
        <v>2218</v>
      </c>
      <c r="L798" s="142" t="s">
        <v>2219</v>
      </c>
      <c r="M798" s="142"/>
      <c r="N798" s="23" t="s">
        <v>2182</v>
      </c>
      <c r="O798" s="23" t="s">
        <v>2183</v>
      </c>
      <c r="P798" s="24" t="str">
        <f t="shared" si="13"/>
        <v>日本の歴史の中の亀山／近代の亀山／産業革命の進展とその後の産業／亀山の製糸場</v>
      </c>
      <c r="Q798" s="25" t="str">
        <f>HYPERLINK("http:/kameyamarekihaku.jp/sisi/tuusiHP_next/tuusi-index.html#kingendai0502","市史通史編 近代・現代第5章第2節")</f>
        <v>市史通史編 近代・現代第5章第2節</v>
      </c>
      <c r="R798" s="142"/>
    </row>
    <row r="799" spans="1:18" s="139" customFormat="1" ht="15" customHeight="1" x14ac:dyDescent="0.15">
      <c r="A799" s="142" t="s">
        <v>1952</v>
      </c>
      <c r="B799" s="142">
        <v>19</v>
      </c>
      <c r="C799" s="143" t="s">
        <v>2220</v>
      </c>
      <c r="D799" s="143">
        <v>1894</v>
      </c>
      <c r="E799" s="144" t="s">
        <v>59</v>
      </c>
      <c r="F799" s="143" t="s">
        <v>2221</v>
      </c>
      <c r="G799" s="143"/>
      <c r="H799" s="142"/>
      <c r="I799" s="143"/>
      <c r="J799" s="142"/>
      <c r="K799" s="142"/>
      <c r="L799" s="142"/>
      <c r="M799" s="142"/>
      <c r="N799" s="12"/>
      <c r="O799" s="12" t="e">
        <v>#VALUE!</v>
      </c>
      <c r="P799" s="13" t="str">
        <f t="shared" si="13"/>
        <v/>
      </c>
      <c r="Q799" s="158"/>
      <c r="R799" s="142"/>
    </row>
    <row r="800" spans="1:18" s="139" customFormat="1" ht="34.5" customHeight="1" x14ac:dyDescent="0.15">
      <c r="A800" s="142" t="s">
        <v>1952</v>
      </c>
      <c r="B800" s="142">
        <v>19</v>
      </c>
      <c r="C800" s="143" t="s">
        <v>2220</v>
      </c>
      <c r="D800" s="143">
        <v>1894</v>
      </c>
      <c r="E800" s="144" t="s">
        <v>59</v>
      </c>
      <c r="F800" s="143" t="s">
        <v>2222</v>
      </c>
      <c r="G800" s="143"/>
      <c r="H800" s="142"/>
      <c r="I800" s="143"/>
      <c r="J800" s="142"/>
      <c r="K800" s="142"/>
      <c r="L800" s="142"/>
      <c r="M800" s="142"/>
      <c r="N800" s="23" t="s">
        <v>2223</v>
      </c>
      <c r="O800" s="23" t="s">
        <v>2224</v>
      </c>
      <c r="P800" s="24" t="str">
        <f t="shared" si="13"/>
        <v>日本の歴史の中の亀山／近代の亀山／日清・日露戦争</v>
      </c>
      <c r="Q800" s="25" t="str">
        <f>HYPERLINK("http:/kameyamarekihaku.jp/sisi/tuusiHP_next/tuusi-index.html#kingendai0402","市史通史編 近代・現代第4章第2節第1項")</f>
        <v>市史通史編 近代・現代第4章第2節第1項</v>
      </c>
      <c r="R800" s="142" t="s">
        <v>2040</v>
      </c>
    </row>
    <row r="801" spans="1:18" s="139" customFormat="1" ht="29.25" customHeight="1" x14ac:dyDescent="0.15">
      <c r="A801" s="142" t="s">
        <v>1952</v>
      </c>
      <c r="B801" s="142">
        <v>19</v>
      </c>
      <c r="C801" s="143" t="s">
        <v>2225</v>
      </c>
      <c r="D801" s="143">
        <v>1895</v>
      </c>
      <c r="E801" s="144" t="s">
        <v>59</v>
      </c>
      <c r="F801" s="143" t="s">
        <v>2226</v>
      </c>
      <c r="G801" s="143"/>
      <c r="H801" s="142"/>
      <c r="I801" s="143"/>
      <c r="J801" s="142"/>
      <c r="K801" s="142"/>
      <c r="L801" s="142"/>
      <c r="M801" s="142"/>
      <c r="N801" s="12" t="s">
        <v>2175</v>
      </c>
      <c r="O801" s="12" t="s">
        <v>2176</v>
      </c>
      <c r="P801" s="13" t="str">
        <f t="shared" si="13"/>
        <v>日本の歴史の中の亀山／近代の亀山／産業革命の進展とその後の産業／国鉄の町亀山</v>
      </c>
      <c r="Q801" s="158"/>
      <c r="R801" s="142" t="s">
        <v>2227</v>
      </c>
    </row>
    <row r="802" spans="1:18" s="139" customFormat="1" ht="28.5" customHeight="1" x14ac:dyDescent="0.15">
      <c r="A802" s="142" t="s">
        <v>1952</v>
      </c>
      <c r="B802" s="142">
        <v>19</v>
      </c>
      <c r="C802" s="143" t="s">
        <v>2228</v>
      </c>
      <c r="D802" s="143">
        <v>1895</v>
      </c>
      <c r="E802" s="144" t="s">
        <v>59</v>
      </c>
      <c r="F802" s="143" t="s">
        <v>2229</v>
      </c>
      <c r="G802" s="143"/>
      <c r="H802" s="142"/>
      <c r="I802" s="143"/>
      <c r="J802" s="142"/>
      <c r="K802" s="142"/>
      <c r="L802" s="142"/>
      <c r="M802" s="142"/>
      <c r="N802" s="23"/>
      <c r="O802" s="23" t="e">
        <v>#VALUE!</v>
      </c>
      <c r="P802" s="24" t="str">
        <f t="shared" si="13"/>
        <v/>
      </c>
      <c r="Q802" s="25" t="str">
        <f>HYPERLINK("http:/kameyamarekihaku.jp/sisi/tuusiHP_next/tuusi-index.html#kingendai0402","市史通史編 近代・現代第4章第2節第1項")</f>
        <v>市史通史編 近代・現代第4章第2節第1項</v>
      </c>
      <c r="R802" s="142" t="s">
        <v>2230</v>
      </c>
    </row>
    <row r="803" spans="1:18" s="139" customFormat="1" ht="47.25" customHeight="1" x14ac:dyDescent="0.15">
      <c r="A803" s="142" t="s">
        <v>1952</v>
      </c>
      <c r="B803" s="142">
        <v>19</v>
      </c>
      <c r="C803" s="143" t="s">
        <v>2231</v>
      </c>
      <c r="D803" s="143">
        <v>1896</v>
      </c>
      <c r="E803" s="144" t="s">
        <v>20</v>
      </c>
      <c r="F803" s="143"/>
      <c r="G803" s="143" t="s">
        <v>2232</v>
      </c>
      <c r="H803" s="142" t="s">
        <v>2233</v>
      </c>
      <c r="I803" s="143" t="s">
        <v>787</v>
      </c>
      <c r="J803" s="142" t="s">
        <v>2234</v>
      </c>
      <c r="K803" s="142"/>
      <c r="L803" s="142"/>
      <c r="M803" s="142" t="s">
        <v>2235</v>
      </c>
      <c r="N803" s="23" t="s">
        <v>2236</v>
      </c>
      <c r="O803" s="23" t="s">
        <v>2176</v>
      </c>
      <c r="P803" s="24" t="str">
        <f t="shared" si="13"/>
        <v>日本の歴史の中の亀山／近代の亀山／産業革命の進展とその後の産業／国鉄の町亀山</v>
      </c>
      <c r="Q803" s="25" t="str">
        <f>HYPERLINK("http:/kameyamarekihaku.jp/sisi/RekisiHP/kingendai/quiz/tetudo/tetudo.html","市史近代・現代ページ 鉄道クイズ")</f>
        <v>市史近代・現代ページ 鉄道クイズ</v>
      </c>
      <c r="R803" s="142" t="s">
        <v>2237</v>
      </c>
    </row>
    <row r="804" spans="1:18" s="139" customFormat="1" ht="15" customHeight="1" x14ac:dyDescent="0.15">
      <c r="A804" s="142" t="s">
        <v>1952</v>
      </c>
      <c r="B804" s="142">
        <v>19</v>
      </c>
      <c r="C804" s="143"/>
      <c r="D804" s="143"/>
      <c r="E804" s="144" t="s">
        <v>20</v>
      </c>
      <c r="F804" s="143" t="s">
        <v>2238</v>
      </c>
      <c r="G804" s="143"/>
      <c r="H804" s="142"/>
      <c r="I804" s="143"/>
      <c r="J804" s="142"/>
      <c r="K804" s="142"/>
      <c r="L804" s="142"/>
      <c r="M804" s="142"/>
      <c r="N804" s="12"/>
      <c r="O804" s="12" t="e">
        <v>#VALUE!</v>
      </c>
      <c r="P804" s="13" t="str">
        <f t="shared" si="13"/>
        <v/>
      </c>
      <c r="Q804" s="158"/>
      <c r="R804" s="142"/>
    </row>
    <row r="805" spans="1:18" s="139" customFormat="1" x14ac:dyDescent="0.15">
      <c r="A805" s="142" t="s">
        <v>1952</v>
      </c>
      <c r="B805" s="142">
        <v>20</v>
      </c>
      <c r="C805" s="143" t="s">
        <v>2239</v>
      </c>
      <c r="D805" s="143">
        <v>1901</v>
      </c>
      <c r="E805" s="144" t="s">
        <v>20</v>
      </c>
      <c r="F805" s="143" t="s">
        <v>2240</v>
      </c>
      <c r="G805" s="143"/>
      <c r="H805" s="142"/>
      <c r="I805" s="143"/>
      <c r="J805" s="142"/>
      <c r="K805" s="142"/>
      <c r="L805" s="142"/>
      <c r="M805" s="142"/>
      <c r="N805" s="12"/>
      <c r="O805" s="12" t="e">
        <v>#VALUE!</v>
      </c>
      <c r="P805" s="13" t="str">
        <f t="shared" si="13"/>
        <v/>
      </c>
      <c r="Q805" s="158"/>
      <c r="R805" s="142"/>
    </row>
    <row r="806" spans="1:18" s="139" customFormat="1" x14ac:dyDescent="0.15">
      <c r="A806" s="142" t="s">
        <v>1952</v>
      </c>
      <c r="B806" s="142">
        <v>20</v>
      </c>
      <c r="C806" s="143" t="s">
        <v>2241</v>
      </c>
      <c r="D806" s="143">
        <v>1902</v>
      </c>
      <c r="E806" s="144" t="s">
        <v>59</v>
      </c>
      <c r="F806" s="143" t="s">
        <v>2242</v>
      </c>
      <c r="G806" s="143"/>
      <c r="H806" s="142"/>
      <c r="I806" s="143"/>
      <c r="J806" s="142"/>
      <c r="K806" s="142"/>
      <c r="L806" s="142"/>
      <c r="M806" s="142"/>
      <c r="N806" s="12"/>
      <c r="O806" s="12" t="e">
        <v>#VALUE!</v>
      </c>
      <c r="P806" s="13" t="str">
        <f t="shared" si="13"/>
        <v/>
      </c>
      <c r="Q806" s="158"/>
      <c r="R806" s="142"/>
    </row>
    <row r="807" spans="1:18" s="139" customFormat="1" ht="27.75" customHeight="1" x14ac:dyDescent="0.15">
      <c r="A807" s="142" t="s">
        <v>1952</v>
      </c>
      <c r="B807" s="142">
        <v>20</v>
      </c>
      <c r="C807" s="143" t="s">
        <v>2243</v>
      </c>
      <c r="D807" s="143">
        <v>1904</v>
      </c>
      <c r="E807" s="144" t="s">
        <v>59</v>
      </c>
      <c r="F807" s="143" t="s">
        <v>2244</v>
      </c>
      <c r="G807" s="143"/>
      <c r="H807" s="142"/>
      <c r="I807" s="143"/>
      <c r="J807" s="142"/>
      <c r="K807" s="142"/>
      <c r="L807" s="142"/>
      <c r="M807" s="142"/>
      <c r="N807" s="23"/>
      <c r="O807" s="23" t="e">
        <v>#VALUE!</v>
      </c>
      <c r="P807" s="24" t="str">
        <f t="shared" si="13"/>
        <v/>
      </c>
      <c r="Q807" s="25" t="str">
        <f>HYPERLINK("http:/kameyamarekihaku.jp/sisi/tuusiHP_next/tuusi-index.html#kingendai0402","市史通史編 近代・現代第4章第2節第1項")</f>
        <v>市史通史編 近代・現代第4章第2節第1項</v>
      </c>
      <c r="R807" s="142" t="s">
        <v>2040</v>
      </c>
    </row>
    <row r="808" spans="1:18" s="139" customFormat="1" ht="38.25" customHeight="1" x14ac:dyDescent="0.15">
      <c r="A808" s="142" t="s">
        <v>1952</v>
      </c>
      <c r="B808" s="142">
        <v>20</v>
      </c>
      <c r="C808" s="143" t="s">
        <v>2245</v>
      </c>
      <c r="D808" s="143">
        <v>1904</v>
      </c>
      <c r="E808" s="144" t="s">
        <v>20</v>
      </c>
      <c r="F808" s="143"/>
      <c r="G808" s="143" t="s">
        <v>2246</v>
      </c>
      <c r="H808" s="142" t="s">
        <v>250</v>
      </c>
      <c r="I808" s="143" t="s">
        <v>2247</v>
      </c>
      <c r="J808" s="142" t="s">
        <v>2248</v>
      </c>
      <c r="K808" s="142"/>
      <c r="L808" s="230" t="s">
        <v>2249</v>
      </c>
      <c r="M808" s="142"/>
      <c r="N808" s="81"/>
      <c r="O808" s="23" t="e">
        <v>#VALUE!</v>
      </c>
      <c r="P808" s="24" t="str">
        <f t="shared" si="13"/>
        <v/>
      </c>
      <c r="Q808" s="82" t="str">
        <f>HYPERLINK("http:/kameyamarekihaku.jp/sisi/RekisiHP/kingendai/quiz/school/schoo01l.html","市史近代・現代ページ 学校クイズ")</f>
        <v>市史近代・現代ページ 学校クイズ</v>
      </c>
      <c r="R808" s="142" t="s">
        <v>2250</v>
      </c>
    </row>
    <row r="809" spans="1:18" s="139" customFormat="1" ht="37.5" customHeight="1" x14ac:dyDescent="0.15">
      <c r="A809" s="142" t="s">
        <v>1952</v>
      </c>
      <c r="B809" s="142">
        <v>20</v>
      </c>
      <c r="C809" s="161" t="s">
        <v>2251</v>
      </c>
      <c r="D809" s="143">
        <v>1905</v>
      </c>
      <c r="E809" s="144" t="s">
        <v>59</v>
      </c>
      <c r="F809" s="143" t="s">
        <v>2252</v>
      </c>
      <c r="G809" s="143"/>
      <c r="H809" s="142"/>
      <c r="I809" s="143"/>
      <c r="J809" s="142"/>
      <c r="K809" s="142"/>
      <c r="L809" s="142"/>
      <c r="M809" s="142"/>
      <c r="N809" s="12" t="s">
        <v>2253</v>
      </c>
      <c r="O809" s="12" t="s">
        <v>2224</v>
      </c>
      <c r="P809" s="13" t="str">
        <f t="shared" si="13"/>
        <v>日本の歴史の中の亀山／近代の亀山／日清・日露戦争</v>
      </c>
      <c r="Q809" s="158"/>
      <c r="R809" s="142"/>
    </row>
    <row r="810" spans="1:18" s="139" customFormat="1" x14ac:dyDescent="0.15">
      <c r="A810" s="142" t="s">
        <v>1952</v>
      </c>
      <c r="B810" s="142">
        <v>20</v>
      </c>
      <c r="C810" s="143" t="s">
        <v>2254</v>
      </c>
      <c r="D810" s="143">
        <v>1905</v>
      </c>
      <c r="E810" s="205" t="s">
        <v>851</v>
      </c>
      <c r="F810" s="143"/>
      <c r="G810" s="143" t="s">
        <v>2255</v>
      </c>
      <c r="H810" s="142" t="s">
        <v>464</v>
      </c>
      <c r="I810" s="143" t="s">
        <v>2256</v>
      </c>
      <c r="J810" s="142" t="s">
        <v>2257</v>
      </c>
      <c r="K810" s="142"/>
      <c r="L810" s="142"/>
      <c r="M810" s="142"/>
      <c r="N810" s="12"/>
      <c r="O810" s="12" t="e">
        <v>#VALUE!</v>
      </c>
      <c r="P810" s="13" t="str">
        <f t="shared" si="13"/>
        <v/>
      </c>
      <c r="Q810" s="158"/>
      <c r="R810" s="142" t="s">
        <v>2104</v>
      </c>
    </row>
    <row r="811" spans="1:18" s="139" customFormat="1" ht="58.5" customHeight="1" x14ac:dyDescent="0.15">
      <c r="A811" s="142" t="s">
        <v>1952</v>
      </c>
      <c r="B811" s="142">
        <v>20</v>
      </c>
      <c r="C811" s="143" t="s">
        <v>2258</v>
      </c>
      <c r="D811" s="143">
        <v>1906</v>
      </c>
      <c r="E811" s="144" t="s">
        <v>20</v>
      </c>
      <c r="F811" s="143"/>
      <c r="G811" s="143" t="s">
        <v>2259</v>
      </c>
      <c r="H811" s="142"/>
      <c r="I811" s="143"/>
      <c r="J811" s="142" t="s">
        <v>2260</v>
      </c>
      <c r="K811" s="142"/>
      <c r="L811" s="142"/>
      <c r="M811" s="142"/>
      <c r="N811" s="23" t="s">
        <v>2261</v>
      </c>
      <c r="O811" s="23" t="s">
        <v>2176</v>
      </c>
      <c r="P811" s="24" t="str">
        <f t="shared" si="13"/>
        <v>日本の歴史の中の亀山／近代の亀山／産業革命の進展とその後の産業／国鉄の町亀山</v>
      </c>
      <c r="Q811" s="25" t="str">
        <f>HYPERLINK("http:/kameyamarekihaku.jp/sisi/tuusiHP_next/tuusi-index.html#kingendai0204","市史通史編 近代・現代第2章第4節")</f>
        <v>市史通史編 近代・現代第2章第4節</v>
      </c>
      <c r="R811" s="142" t="s">
        <v>2177</v>
      </c>
    </row>
    <row r="812" spans="1:18" s="139" customFormat="1" ht="28.5" customHeight="1" x14ac:dyDescent="0.15">
      <c r="A812" s="142" t="s">
        <v>1952</v>
      </c>
      <c r="B812" s="142">
        <v>20</v>
      </c>
      <c r="C812" s="143" t="s">
        <v>2258</v>
      </c>
      <c r="D812" s="143">
        <v>1906</v>
      </c>
      <c r="E812" s="144" t="s">
        <v>20</v>
      </c>
      <c r="F812" s="143"/>
      <c r="G812" s="143" t="s">
        <v>2262</v>
      </c>
      <c r="H812" s="142" t="s">
        <v>305</v>
      </c>
      <c r="I812" s="143" t="s">
        <v>2263</v>
      </c>
      <c r="J812" s="142" t="s">
        <v>2264</v>
      </c>
      <c r="K812" s="142"/>
      <c r="L812" s="142"/>
      <c r="M812" s="142"/>
      <c r="N812" s="12"/>
      <c r="O812" s="12" t="e">
        <v>#VALUE!</v>
      </c>
      <c r="P812" s="13" t="str">
        <f t="shared" si="13"/>
        <v/>
      </c>
      <c r="Q812" s="158"/>
      <c r="R812" s="142" t="s">
        <v>2265</v>
      </c>
    </row>
    <row r="813" spans="1:18" s="139" customFormat="1" ht="28.5" customHeight="1" x14ac:dyDescent="0.15">
      <c r="A813" s="142" t="s">
        <v>1952</v>
      </c>
      <c r="B813" s="142">
        <v>20</v>
      </c>
      <c r="C813" s="143" t="s">
        <v>2266</v>
      </c>
      <c r="D813" s="143">
        <v>1907</v>
      </c>
      <c r="E813" s="144" t="s">
        <v>20</v>
      </c>
      <c r="F813" s="143" t="s">
        <v>2267</v>
      </c>
      <c r="G813" s="143"/>
      <c r="H813" s="142"/>
      <c r="I813" s="143"/>
      <c r="J813" s="142"/>
      <c r="K813" s="142"/>
      <c r="L813" s="142"/>
      <c r="M813" s="142"/>
      <c r="N813" s="12"/>
      <c r="O813" s="12" t="e">
        <v>#VALUE!</v>
      </c>
      <c r="P813" s="13" t="str">
        <f t="shared" si="13"/>
        <v/>
      </c>
      <c r="Q813" s="158"/>
      <c r="R813" s="142"/>
    </row>
    <row r="814" spans="1:18" s="139" customFormat="1" ht="57" customHeight="1" x14ac:dyDescent="0.15">
      <c r="A814" s="142" t="s">
        <v>1952</v>
      </c>
      <c r="B814" s="142">
        <v>20</v>
      </c>
      <c r="C814" s="143" t="s">
        <v>2266</v>
      </c>
      <c r="D814" s="143">
        <v>1907</v>
      </c>
      <c r="E814" s="144" t="s">
        <v>20</v>
      </c>
      <c r="F814" s="143"/>
      <c r="G814" s="143" t="s">
        <v>2268</v>
      </c>
      <c r="H814" s="142"/>
      <c r="I814" s="143"/>
      <c r="J814" s="142" t="s">
        <v>2269</v>
      </c>
      <c r="K814" s="142"/>
      <c r="L814" s="142"/>
      <c r="M814" s="142"/>
      <c r="N814" s="23" t="s">
        <v>2261</v>
      </c>
      <c r="O814" s="23" t="s">
        <v>2176</v>
      </c>
      <c r="P814" s="24" t="str">
        <f t="shared" si="13"/>
        <v>日本の歴史の中の亀山／近代の亀山／産業革命の進展とその後の産業／国鉄の町亀山</v>
      </c>
      <c r="Q814" s="25" t="str">
        <f>HYPERLINK("http:/kameyamarekihaku.jp/sisi/tuusiHP_next/tuusi-index.html#kingendai0204","市史通史編 近代・現代第2章第4節")</f>
        <v>市史通史編 近代・現代第2章第4節</v>
      </c>
      <c r="R814" s="142" t="s">
        <v>2177</v>
      </c>
    </row>
    <row r="815" spans="1:18" s="139" customFormat="1" ht="61.5" customHeight="1" x14ac:dyDescent="0.15">
      <c r="A815" s="142" t="s">
        <v>1952</v>
      </c>
      <c r="B815" s="142">
        <v>20</v>
      </c>
      <c r="C815" s="143" t="s">
        <v>2270</v>
      </c>
      <c r="D815" s="143">
        <v>1908</v>
      </c>
      <c r="E815" s="144" t="s">
        <v>20</v>
      </c>
      <c r="F815" s="143"/>
      <c r="G815" s="143" t="s">
        <v>2271</v>
      </c>
      <c r="H815" s="142" t="s">
        <v>2272</v>
      </c>
      <c r="I815" s="161" t="s">
        <v>2273</v>
      </c>
      <c r="J815" s="142" t="s">
        <v>2274</v>
      </c>
      <c r="K815" s="142"/>
      <c r="L815" s="142"/>
      <c r="M815" s="142"/>
      <c r="N815" s="23" t="s">
        <v>2261</v>
      </c>
      <c r="O815" s="23" t="s">
        <v>2176</v>
      </c>
      <c r="P815" s="24" t="str">
        <f t="shared" si="13"/>
        <v>日本の歴史の中の亀山／近代の亀山／産業革命の進展とその後の産業／国鉄の町亀山</v>
      </c>
      <c r="Q815" s="25" t="str">
        <f>HYPERLINK("http:/kameyamarekihaku.jp/sisi/tuusiHP_next/tuusi-index.html#kingendai0204","市史通史編 近代・現代第2章第4節")</f>
        <v>市史通史編 近代・現代第2章第4節</v>
      </c>
      <c r="R815" s="142" t="s">
        <v>2177</v>
      </c>
    </row>
    <row r="816" spans="1:18" s="139" customFormat="1" ht="30.75" customHeight="1" x14ac:dyDescent="0.15">
      <c r="A816" s="142" t="s">
        <v>1952</v>
      </c>
      <c r="B816" s="142">
        <v>20</v>
      </c>
      <c r="C816" s="143" t="s">
        <v>2270</v>
      </c>
      <c r="D816" s="143">
        <v>1908</v>
      </c>
      <c r="E816" s="144" t="s">
        <v>20</v>
      </c>
      <c r="F816" s="143"/>
      <c r="G816" s="143" t="s">
        <v>2275</v>
      </c>
      <c r="H816" s="142"/>
      <c r="I816" s="143"/>
      <c r="J816" s="142"/>
      <c r="K816" s="142"/>
      <c r="L816" s="142"/>
      <c r="M816" s="142"/>
      <c r="N816" s="23"/>
      <c r="O816" s="23" t="e">
        <v>#VALUE!</v>
      </c>
      <c r="P816" s="24" t="str">
        <f t="shared" si="13"/>
        <v/>
      </c>
      <c r="Q816" s="25" t="str">
        <f>HYPERLINK("http:/kameyamarekihaku.jp/sisi/RekisiHP/kingendai/01/m41siryo/m41.html","市史近代・現代ページ　明治41（1908)年の資料")</f>
        <v>市史近代・現代ページ　明治41（1908)年の資料</v>
      </c>
      <c r="R816" s="142" t="s">
        <v>2276</v>
      </c>
    </row>
    <row r="817" spans="1:18" s="139" customFormat="1" ht="31.7" customHeight="1" x14ac:dyDescent="0.15">
      <c r="A817" s="142" t="s">
        <v>1952</v>
      </c>
      <c r="B817" s="142">
        <v>20</v>
      </c>
      <c r="C817" s="143" t="s">
        <v>2270</v>
      </c>
      <c r="D817" s="143">
        <v>1908</v>
      </c>
      <c r="E817" s="144" t="s">
        <v>20</v>
      </c>
      <c r="F817" s="143"/>
      <c r="G817" s="161" t="s">
        <v>2277</v>
      </c>
      <c r="H817" s="142" t="s">
        <v>464</v>
      </c>
      <c r="I817" s="143" t="s">
        <v>1157</v>
      </c>
      <c r="J817" s="142" t="s">
        <v>2150</v>
      </c>
      <c r="K817" s="142"/>
      <c r="L817" s="142"/>
      <c r="M817" s="142"/>
      <c r="N817" s="12"/>
      <c r="O817" s="12" t="e">
        <v>#VALUE!</v>
      </c>
      <c r="P817" s="13" t="str">
        <f t="shared" si="13"/>
        <v/>
      </c>
      <c r="Q817" s="158"/>
      <c r="R817" s="142" t="s">
        <v>2278</v>
      </c>
    </row>
    <row r="818" spans="1:18" s="139" customFormat="1" ht="32.25" customHeight="1" x14ac:dyDescent="0.15">
      <c r="A818" s="142" t="s">
        <v>1952</v>
      </c>
      <c r="B818" s="142">
        <v>20</v>
      </c>
      <c r="C818" s="143" t="s">
        <v>2279</v>
      </c>
      <c r="D818" s="143">
        <v>1909</v>
      </c>
      <c r="E818" s="144" t="s">
        <v>20</v>
      </c>
      <c r="F818" s="143"/>
      <c r="G818" s="143" t="s">
        <v>2280</v>
      </c>
      <c r="H818" s="142" t="s">
        <v>464</v>
      </c>
      <c r="I818" s="143" t="s">
        <v>677</v>
      </c>
      <c r="J818" s="142" t="s">
        <v>2281</v>
      </c>
      <c r="K818" s="142"/>
      <c r="L818" s="142"/>
      <c r="M818" s="142"/>
      <c r="N818" s="12" t="s">
        <v>2282</v>
      </c>
      <c r="O818" s="12" t="s">
        <v>2283</v>
      </c>
      <c r="P818" s="13" t="str">
        <f t="shared" si="13"/>
        <v>日本の歴史の中の亀山／近代の亀山／亀山の近代文化と日常生活／電気の普及</v>
      </c>
      <c r="Q818" s="158"/>
      <c r="R818" s="142" t="s">
        <v>2284</v>
      </c>
    </row>
    <row r="819" spans="1:18" s="139" customFormat="1" ht="32.25" customHeight="1" x14ac:dyDescent="0.15">
      <c r="A819" s="142" t="s">
        <v>1952</v>
      </c>
      <c r="B819" s="142">
        <v>20</v>
      </c>
      <c r="C819" s="143" t="s">
        <v>2285</v>
      </c>
      <c r="D819" s="143">
        <v>1909</v>
      </c>
      <c r="E819" s="144" t="s">
        <v>20</v>
      </c>
      <c r="F819" s="143"/>
      <c r="G819" s="143" t="s">
        <v>2286</v>
      </c>
      <c r="H819" s="142"/>
      <c r="I819" s="143"/>
      <c r="J819" s="142"/>
      <c r="K819" s="142"/>
      <c r="L819" s="142"/>
      <c r="M819" s="142"/>
      <c r="N819" s="12" t="s">
        <v>2287</v>
      </c>
      <c r="O819" s="12" t="s">
        <v>2283</v>
      </c>
      <c r="P819" s="13" t="str">
        <f t="shared" si="13"/>
        <v>日本の歴史の中の亀山／近代の亀山／亀山の近代文化と日常生活／電気の普及</v>
      </c>
      <c r="Q819" s="158"/>
      <c r="R819" s="142" t="s">
        <v>2288</v>
      </c>
    </row>
    <row r="820" spans="1:18" s="139" customFormat="1" ht="12.75" customHeight="1" x14ac:dyDescent="0.15">
      <c r="A820" s="142" t="s">
        <v>1952</v>
      </c>
      <c r="B820" s="142">
        <v>20</v>
      </c>
      <c r="C820" s="143" t="s">
        <v>2289</v>
      </c>
      <c r="D820" s="143">
        <v>1910</v>
      </c>
      <c r="E820" s="144" t="s">
        <v>59</v>
      </c>
      <c r="F820" s="143" t="s">
        <v>2290</v>
      </c>
      <c r="G820" s="143"/>
      <c r="H820" s="142"/>
      <c r="I820" s="143"/>
      <c r="J820" s="142"/>
      <c r="K820" s="142"/>
      <c r="L820" s="142"/>
      <c r="M820" s="142"/>
      <c r="N820" s="12"/>
      <c r="O820" s="12" t="e">
        <v>#VALUE!</v>
      </c>
      <c r="P820" s="13" t="str">
        <f t="shared" si="13"/>
        <v/>
      </c>
      <c r="Q820" s="158"/>
      <c r="R820" s="142"/>
    </row>
    <row r="821" spans="1:18" s="139" customFormat="1" ht="13.15" customHeight="1" x14ac:dyDescent="0.15">
      <c r="A821" s="142" t="s">
        <v>1952</v>
      </c>
      <c r="B821" s="142">
        <v>20</v>
      </c>
      <c r="C821" s="143" t="s">
        <v>2289</v>
      </c>
      <c r="D821" s="143">
        <v>1910</v>
      </c>
      <c r="E821" s="144" t="s">
        <v>59</v>
      </c>
      <c r="F821" s="143" t="s">
        <v>2291</v>
      </c>
      <c r="G821" s="143"/>
      <c r="H821" s="142"/>
      <c r="I821" s="143"/>
      <c r="J821" s="142"/>
      <c r="K821" s="142"/>
      <c r="L821" s="142"/>
      <c r="M821" s="142"/>
      <c r="N821" s="12"/>
      <c r="O821" s="12" t="e">
        <v>#VALUE!</v>
      </c>
      <c r="P821" s="13" t="str">
        <f t="shared" si="13"/>
        <v/>
      </c>
      <c r="Q821" s="158"/>
      <c r="R821" s="142"/>
    </row>
    <row r="822" spans="1:18" s="139" customFormat="1" ht="13.15" customHeight="1" x14ac:dyDescent="0.15">
      <c r="A822" s="142" t="s">
        <v>1952</v>
      </c>
      <c r="B822" s="142">
        <v>20</v>
      </c>
      <c r="C822" s="143" t="s">
        <v>2292</v>
      </c>
      <c r="D822" s="143">
        <v>1911</v>
      </c>
      <c r="E822" s="144" t="s">
        <v>59</v>
      </c>
      <c r="F822" s="143" t="s">
        <v>2293</v>
      </c>
      <c r="G822" s="143"/>
      <c r="H822" s="142"/>
      <c r="I822" s="143"/>
      <c r="J822" s="142"/>
      <c r="K822" s="142"/>
      <c r="L822" s="142"/>
      <c r="M822" s="142"/>
      <c r="N822" s="12"/>
      <c r="O822" s="12" t="e">
        <v>#VALUE!</v>
      </c>
      <c r="P822" s="13" t="str">
        <f t="shared" si="13"/>
        <v/>
      </c>
      <c r="Q822" s="158"/>
      <c r="R822" s="142"/>
    </row>
    <row r="823" spans="1:18" s="139" customFormat="1" ht="43.9" customHeight="1" x14ac:dyDescent="0.15">
      <c r="A823" s="142" t="s">
        <v>1952</v>
      </c>
      <c r="B823" s="142">
        <v>20</v>
      </c>
      <c r="C823" s="143" t="s">
        <v>2292</v>
      </c>
      <c r="D823" s="143">
        <v>1911</v>
      </c>
      <c r="E823" s="144" t="s">
        <v>20</v>
      </c>
      <c r="F823" s="143"/>
      <c r="G823" s="143" t="s">
        <v>2294</v>
      </c>
      <c r="H823" s="142" t="s">
        <v>464</v>
      </c>
      <c r="I823" s="143" t="s">
        <v>2295</v>
      </c>
      <c r="J823" s="112" t="s">
        <v>2296</v>
      </c>
      <c r="K823" s="142"/>
      <c r="L823" s="82" t="str">
        <f>HYPERLINK("http://kameyamarekihaku.jp/sisi/tuusiHP_next/kingendai/image/05/gi.htm?pf=3044sh005-03.JPG&amp;?pn=%20%E4%BA%80%E5%B1%B1%E8%A3%BD%E7%B5%B2%E6%9C%AC%E7%A4%BE%E5%B7%A5%E5%A0%B4%EF%BC%88%E6%98%AD%E5%92%8C10%E5%B9%B4%E4%BB%A3%EF%BC%89","画像史料：亀山製絲株式会社本社工場（古写真）")</f>
        <v>画像史料：亀山製絲株式会社本社工場（古写真）</v>
      </c>
      <c r="M823" s="142"/>
      <c r="N823" s="12"/>
      <c r="O823" s="12" t="e">
        <v>#VALUE!</v>
      </c>
      <c r="P823" s="13" t="str">
        <f t="shared" si="13"/>
        <v/>
      </c>
      <c r="Q823" s="158"/>
      <c r="R823" s="142" t="s">
        <v>2297</v>
      </c>
    </row>
    <row r="824" spans="1:18" s="139" customFormat="1" ht="34.5" customHeight="1" x14ac:dyDescent="0.15">
      <c r="A824" s="142" t="s">
        <v>1952</v>
      </c>
      <c r="B824" s="142">
        <v>20</v>
      </c>
      <c r="C824" s="143" t="s">
        <v>2292</v>
      </c>
      <c r="D824" s="143">
        <v>1911</v>
      </c>
      <c r="E824" s="144" t="s">
        <v>20</v>
      </c>
      <c r="F824" s="143"/>
      <c r="G824" s="143" t="s">
        <v>2298</v>
      </c>
      <c r="H824" s="142" t="s">
        <v>199</v>
      </c>
      <c r="I824" s="143"/>
      <c r="J824" s="142"/>
      <c r="K824" s="142"/>
      <c r="L824" s="142"/>
      <c r="M824" s="142"/>
      <c r="N824" s="12" t="s">
        <v>2287</v>
      </c>
      <c r="O824" s="12" t="s">
        <v>2283</v>
      </c>
      <c r="P824" s="13" t="str">
        <f t="shared" si="13"/>
        <v>日本の歴史の中の亀山／近代の亀山／亀山の近代文化と日常生活／電気の普及</v>
      </c>
      <c r="Q824" s="158"/>
      <c r="R824" s="142" t="s">
        <v>2299</v>
      </c>
    </row>
    <row r="825" spans="1:18" s="139" customFormat="1" ht="38.65" customHeight="1" x14ac:dyDescent="0.15">
      <c r="A825" s="142" t="s">
        <v>2300</v>
      </c>
      <c r="B825" s="142">
        <v>20</v>
      </c>
      <c r="C825" s="143" t="s">
        <v>2301</v>
      </c>
      <c r="D825" s="143">
        <v>1912</v>
      </c>
      <c r="E825" s="144" t="s">
        <v>20</v>
      </c>
      <c r="F825" s="143"/>
      <c r="G825" s="143" t="s">
        <v>2302</v>
      </c>
      <c r="H825" s="142" t="s">
        <v>464</v>
      </c>
      <c r="I825" s="143" t="s">
        <v>2303</v>
      </c>
      <c r="J825" s="112" t="s">
        <v>2304</v>
      </c>
      <c r="K825" s="142"/>
      <c r="L825" s="82" t="str">
        <f>HYPERLINK("http://kameyamarekihaku.jp/sisi/tuusiHP_next/kingendai/image/06/gi.htm?pf=3051sh006-01.JPG&amp;?pn=%20%E9%88%B4%E9%B9%BF%E9%83%A1%E7%AB%8B%E8%BE%B2%E5%AD%A6%E6%A0%A1%E6%A0%A1%E8%88%8E%EF%BC%88%E6%98%8E%E6%B2%BB45%E5%B9%B4%EF%BC%89","画像史料：鈴鹿郡立農学校（古写真）")</f>
        <v>画像史料：鈴鹿郡立農学校（古写真）</v>
      </c>
      <c r="M825" s="142"/>
      <c r="N825" s="23" t="s">
        <v>2305</v>
      </c>
      <c r="O825" s="23" t="s">
        <v>2306</v>
      </c>
      <c r="P825" s="24" t="str">
        <f t="shared" si="13"/>
        <v>日本の歴史の中の亀山／近代の亀山／産業革命の進展とその後の産業／農業</v>
      </c>
      <c r="Q825" s="25" t="str">
        <f>HYPERLINK("http:/kameyamarekihaku.jp/sisi/tuusiHP_next/tuusi-index.html#kingendai0601","市史通史編 近代・現代第6章第1節")</f>
        <v>市史通史編 近代・現代第6章第1節</v>
      </c>
      <c r="R825" s="142" t="s">
        <v>2307</v>
      </c>
    </row>
    <row r="826" spans="1:18" s="139" customFormat="1" ht="39.950000000000003" customHeight="1" x14ac:dyDescent="0.15">
      <c r="A826" s="142" t="s">
        <v>2300</v>
      </c>
      <c r="B826" s="142">
        <v>20</v>
      </c>
      <c r="C826" s="143" t="s">
        <v>2301</v>
      </c>
      <c r="D826" s="143">
        <v>1912</v>
      </c>
      <c r="E826" s="144" t="s">
        <v>20</v>
      </c>
      <c r="F826" s="143" t="s">
        <v>2308</v>
      </c>
      <c r="G826" s="143"/>
      <c r="H826" s="142"/>
      <c r="I826" s="143"/>
      <c r="J826" s="142"/>
      <c r="K826" s="142"/>
      <c r="L826" s="142"/>
      <c r="M826" s="142"/>
      <c r="N826" s="12"/>
      <c r="O826" s="12" t="e">
        <v>#VALUE!</v>
      </c>
      <c r="P826" s="13" t="str">
        <f t="shared" si="13"/>
        <v/>
      </c>
      <c r="Q826" s="158"/>
      <c r="R826" s="142"/>
    </row>
    <row r="827" spans="1:18" s="139" customFormat="1" ht="35.25" customHeight="1" x14ac:dyDescent="0.15">
      <c r="A827" s="142" t="s">
        <v>2300</v>
      </c>
      <c r="B827" s="142">
        <v>20</v>
      </c>
      <c r="C827" s="143" t="s">
        <v>2309</v>
      </c>
      <c r="D827" s="143">
        <v>1913</v>
      </c>
      <c r="E827" s="144" t="s">
        <v>20</v>
      </c>
      <c r="F827" s="143"/>
      <c r="G827" s="143" t="s">
        <v>2310</v>
      </c>
      <c r="H827" s="142" t="s">
        <v>2101</v>
      </c>
      <c r="I827" s="143" t="s">
        <v>2102</v>
      </c>
      <c r="J827" s="142"/>
      <c r="K827" s="142"/>
      <c r="L827" s="142"/>
      <c r="M827" s="142"/>
      <c r="N827" s="12" t="s">
        <v>2103</v>
      </c>
      <c r="O827" s="12" t="s">
        <v>365</v>
      </c>
      <c r="P827" s="13" t="str">
        <f t="shared" si="13"/>
        <v>亀山のいいとこさがし／景色のよいところや歴史を知る手掛かりとなるもの／川</v>
      </c>
      <c r="Q827" s="158"/>
      <c r="R827" s="142" t="s">
        <v>2311</v>
      </c>
    </row>
    <row r="828" spans="1:18" s="139" customFormat="1" ht="34.5" customHeight="1" x14ac:dyDescent="0.15">
      <c r="A828" s="142" t="s">
        <v>2300</v>
      </c>
      <c r="B828" s="142">
        <v>20</v>
      </c>
      <c r="C828" s="143" t="s">
        <v>2312</v>
      </c>
      <c r="D828" s="143">
        <v>1914</v>
      </c>
      <c r="E828" s="144" t="s">
        <v>59</v>
      </c>
      <c r="F828" s="143" t="s">
        <v>2313</v>
      </c>
      <c r="G828" s="143"/>
      <c r="H828" s="142"/>
      <c r="I828" s="143"/>
      <c r="J828" s="142"/>
      <c r="K828" s="142"/>
      <c r="L828" s="142"/>
      <c r="M828" s="142"/>
      <c r="N828" s="12" t="s">
        <v>2314</v>
      </c>
      <c r="O828" s="12" t="s">
        <v>2315</v>
      </c>
      <c r="P828" s="13" t="str">
        <f t="shared" si="13"/>
        <v>日本の歴史の中の亀山／近代の亀山／第１次世界大戦と亀山</v>
      </c>
      <c r="Q828" s="158"/>
      <c r="R828" s="142"/>
    </row>
    <row r="829" spans="1:18" s="139" customFormat="1" ht="15" customHeight="1" x14ac:dyDescent="0.15">
      <c r="A829" s="142" t="s">
        <v>2300</v>
      </c>
      <c r="B829" s="142">
        <v>20</v>
      </c>
      <c r="C829" s="143" t="s">
        <v>2316</v>
      </c>
      <c r="D829" s="143">
        <v>1915</v>
      </c>
      <c r="E829" s="144" t="s">
        <v>59</v>
      </c>
      <c r="F829" s="143" t="s">
        <v>2317</v>
      </c>
      <c r="G829" s="143"/>
      <c r="H829" s="142"/>
      <c r="I829" s="143"/>
      <c r="J829" s="142"/>
      <c r="K829" s="142"/>
      <c r="L829" s="142"/>
      <c r="M829" s="142"/>
      <c r="N829" s="12"/>
      <c r="O829" s="12" t="e">
        <v>#VALUE!</v>
      </c>
      <c r="P829" s="13" t="str">
        <f t="shared" si="13"/>
        <v/>
      </c>
      <c r="Q829" s="158"/>
      <c r="R829" s="142"/>
    </row>
    <row r="830" spans="1:18" s="139" customFormat="1" ht="34.5" customHeight="1" x14ac:dyDescent="0.15">
      <c r="A830" s="142" t="s">
        <v>2300</v>
      </c>
      <c r="B830" s="142">
        <v>20</v>
      </c>
      <c r="C830" s="143" t="s">
        <v>2318</v>
      </c>
      <c r="D830" s="143">
        <v>1918</v>
      </c>
      <c r="E830" s="144" t="s">
        <v>20</v>
      </c>
      <c r="F830" s="161" t="s">
        <v>2319</v>
      </c>
      <c r="G830" s="143"/>
      <c r="H830" s="142"/>
      <c r="I830" s="143"/>
      <c r="J830" s="142"/>
      <c r="K830" s="142"/>
      <c r="L830" s="142"/>
      <c r="M830" s="142"/>
      <c r="N830" s="12" t="s">
        <v>2320</v>
      </c>
      <c r="O830" s="12" t="s">
        <v>2321</v>
      </c>
      <c r="P830" s="13" t="str">
        <f t="shared" si="13"/>
        <v>日本の歴史の中の亀山／近世の亀山／第一次大戦と亀山／坂下地区の米騒動</v>
      </c>
      <c r="Q830" s="158"/>
      <c r="R830" s="142"/>
    </row>
    <row r="831" spans="1:18" s="139" customFormat="1" ht="15" customHeight="1" x14ac:dyDescent="0.15">
      <c r="A831" s="142" t="s">
        <v>2300</v>
      </c>
      <c r="B831" s="142">
        <v>20</v>
      </c>
      <c r="C831" s="143" t="s">
        <v>2318</v>
      </c>
      <c r="D831" s="143">
        <v>1918</v>
      </c>
      <c r="E831" s="144" t="s">
        <v>59</v>
      </c>
      <c r="F831" s="143" t="s">
        <v>2322</v>
      </c>
      <c r="G831" s="143"/>
      <c r="H831" s="142"/>
      <c r="I831" s="143"/>
      <c r="J831" s="142"/>
      <c r="K831" s="142"/>
      <c r="L831" s="142"/>
      <c r="M831" s="142"/>
      <c r="N831" s="12"/>
      <c r="O831" s="12" t="e">
        <v>#VALUE!</v>
      </c>
      <c r="P831" s="13" t="str">
        <f t="shared" si="13"/>
        <v/>
      </c>
      <c r="Q831" s="158"/>
      <c r="R831" s="142"/>
    </row>
    <row r="832" spans="1:18" s="139" customFormat="1" ht="15" customHeight="1" x14ac:dyDescent="0.15">
      <c r="A832" s="142" t="s">
        <v>2300</v>
      </c>
      <c r="B832" s="142">
        <v>20</v>
      </c>
      <c r="C832" s="143" t="s">
        <v>2318</v>
      </c>
      <c r="D832" s="143">
        <v>1918</v>
      </c>
      <c r="E832" s="144" t="s">
        <v>20</v>
      </c>
      <c r="F832" s="143" t="s">
        <v>2323</v>
      </c>
      <c r="G832" s="143"/>
      <c r="H832" s="142"/>
      <c r="I832" s="143"/>
      <c r="J832" s="142"/>
      <c r="K832" s="142"/>
      <c r="L832" s="142"/>
      <c r="M832" s="142"/>
      <c r="N832" s="12"/>
      <c r="O832" s="12" t="e">
        <v>#VALUE!</v>
      </c>
      <c r="P832" s="13" t="str">
        <f t="shared" si="13"/>
        <v/>
      </c>
      <c r="Q832" s="158"/>
      <c r="R832" s="142"/>
    </row>
    <row r="833" spans="1:18" s="139" customFormat="1" ht="28.5" customHeight="1" x14ac:dyDescent="0.15">
      <c r="A833" s="142" t="s">
        <v>2300</v>
      </c>
      <c r="B833" s="142">
        <v>20</v>
      </c>
      <c r="C833" s="143"/>
      <c r="D833" s="143"/>
      <c r="E833" s="144" t="s">
        <v>20</v>
      </c>
      <c r="F833" s="143" t="s">
        <v>2324</v>
      </c>
      <c r="G833" s="143"/>
      <c r="H833" s="142"/>
      <c r="I833" s="143"/>
      <c r="J833" s="142"/>
      <c r="K833" s="142"/>
      <c r="L833" s="142"/>
      <c r="M833" s="142"/>
      <c r="N833" s="12"/>
      <c r="O833" s="12" t="e">
        <v>#VALUE!</v>
      </c>
      <c r="P833" s="13" t="str">
        <f t="shared" si="13"/>
        <v/>
      </c>
      <c r="Q833" s="158"/>
      <c r="R833" s="142"/>
    </row>
    <row r="834" spans="1:18" s="6" customFormat="1" ht="15.75" customHeight="1" x14ac:dyDescent="0.15">
      <c r="A834" s="88" t="s">
        <v>2300</v>
      </c>
      <c r="B834" s="88">
        <v>20</v>
      </c>
      <c r="C834" s="163" t="s">
        <v>2325</v>
      </c>
      <c r="D834" s="163">
        <v>1920</v>
      </c>
      <c r="E834" s="147" t="s">
        <v>34</v>
      </c>
      <c r="F834" s="163"/>
      <c r="G834" s="372" t="s">
        <v>2326</v>
      </c>
      <c r="H834" s="88" t="s">
        <v>199</v>
      </c>
      <c r="I834" s="163" t="s">
        <v>200</v>
      </c>
      <c r="J834" s="88" t="s">
        <v>2327</v>
      </c>
      <c r="K834" s="88"/>
      <c r="L834" s="16" t="str">
        <f>HYPERLINK("http://kameyamarekihaku.jp/sisi/tuusiHP_next/kingendai/image/09/gi.htm?pf=3089sh009-04.JPG&amp;?pn=%E5%9C%B0%E8%94%B5%E9%99%A2%E8%AD%B7%E6%91%A9%E5%A0%82%EF%BC%88%E5%8F%A4%E5%86%99%E7%9C%9F%EF%BC%89","画像史料：地蔵院護摩堂（古写真）")</f>
        <v>画像史料：地蔵院護摩堂（古写真）</v>
      </c>
      <c r="M834" s="88" t="s">
        <v>2328</v>
      </c>
      <c r="N834" s="32" t="s">
        <v>2329</v>
      </c>
      <c r="O834" s="32" t="s">
        <v>774</v>
      </c>
      <c r="P834" s="33" t="str">
        <f t="shared" si="13"/>
        <v>亀山のいいとこさがし／建物</v>
      </c>
      <c r="Q834" s="48" t="str">
        <f>HYPERLINK("http:/kameyamarekihaku.jp/sisi/RekisiHP/kingendai/quiz/meisho.kyuusho/meishou.html","市史近代・現代ページ 遺跡・名勝クイズ")</f>
        <v>市史近代・現代ページ 遺跡・名勝クイズ</v>
      </c>
      <c r="R834" s="347" t="s">
        <v>2330</v>
      </c>
    </row>
    <row r="835" spans="1:18" s="6" customFormat="1" ht="60.75" customHeight="1" x14ac:dyDescent="0.15">
      <c r="A835" s="91"/>
      <c r="B835" s="91"/>
      <c r="C835" s="169"/>
      <c r="D835" s="169"/>
      <c r="E835" s="153"/>
      <c r="F835" s="169"/>
      <c r="G835" s="373"/>
      <c r="H835" s="91"/>
      <c r="I835" s="169"/>
      <c r="J835" s="18"/>
      <c r="K835" s="91"/>
      <c r="L835" s="91"/>
      <c r="M835" s="91"/>
      <c r="N835" s="29" t="s">
        <v>2331</v>
      </c>
      <c r="O835" s="29" t="s">
        <v>776</v>
      </c>
      <c r="P835" s="30" t="str">
        <f t="shared" si="13"/>
        <v>亀山のいいとこさがし／景色のよいところや歴史を知る手掛かりとなるもの／関宿のまちなみ／新所のまちなみ／地蔵院本堂・鐘楼・愛染堂</v>
      </c>
      <c r="Q835" s="46" t="str">
        <f>HYPERLINK("http:/kameyamarekihaku.jp/sisi/tuusiHP_next/tuusi-index.html#kingendai0904","市史通史編 近代・現代第9章第4節")</f>
        <v>市史通史編 近代・現代第9章第4節</v>
      </c>
      <c r="R835" s="348"/>
    </row>
    <row r="836" spans="1:18" s="139" customFormat="1" ht="15" customHeight="1" x14ac:dyDescent="0.15">
      <c r="A836" s="142" t="s">
        <v>2300</v>
      </c>
      <c r="B836" s="142">
        <v>20</v>
      </c>
      <c r="C836" s="143" t="s">
        <v>2332</v>
      </c>
      <c r="D836" s="143">
        <v>1920</v>
      </c>
      <c r="E836" s="144" t="s">
        <v>59</v>
      </c>
      <c r="F836" s="143" t="s">
        <v>2333</v>
      </c>
      <c r="G836" s="143"/>
      <c r="H836" s="142"/>
      <c r="I836" s="143"/>
      <c r="J836" s="142"/>
      <c r="K836" s="142"/>
      <c r="L836" s="142"/>
      <c r="M836" s="142"/>
      <c r="N836" s="12"/>
      <c r="O836" s="12" t="e">
        <v>#VALUE!</v>
      </c>
      <c r="P836" s="13" t="str">
        <f t="shared" si="13"/>
        <v/>
      </c>
      <c r="Q836" s="158"/>
      <c r="R836" s="142"/>
    </row>
    <row r="837" spans="1:18" s="139" customFormat="1" ht="28.5" customHeight="1" x14ac:dyDescent="0.15">
      <c r="A837" s="142" t="s">
        <v>2300</v>
      </c>
      <c r="B837" s="142">
        <v>20</v>
      </c>
      <c r="C837" s="143" t="s">
        <v>2334</v>
      </c>
      <c r="D837" s="143">
        <v>1921</v>
      </c>
      <c r="E837" s="144" t="s">
        <v>20</v>
      </c>
      <c r="F837" s="143"/>
      <c r="G837" s="143" t="s">
        <v>2335</v>
      </c>
      <c r="H837" s="142" t="s">
        <v>250</v>
      </c>
      <c r="I837" s="143" t="s">
        <v>2247</v>
      </c>
      <c r="J837" s="142" t="s">
        <v>2336</v>
      </c>
      <c r="K837" s="142"/>
      <c r="L837" s="142"/>
      <c r="M837" s="142"/>
      <c r="N837" s="81"/>
      <c r="O837" s="23" t="e">
        <v>#VALUE!</v>
      </c>
      <c r="P837" s="24" t="str">
        <f t="shared" ref="P837:P900" si="14">IFERROR(HYPERLINK(O837,N837),"")</f>
        <v/>
      </c>
      <c r="Q837" s="82" t="str">
        <f>HYPERLINK("http:/kameyamarekihaku.jp/sisi/RekisiHP/kingendai/quiz/school/schoo01l.html","市史近代・現代ページ 学校クイズ")</f>
        <v>市史近代・現代ページ 学校クイズ</v>
      </c>
      <c r="R837" s="142" t="s">
        <v>2337</v>
      </c>
    </row>
    <row r="838" spans="1:18" s="139" customFormat="1" ht="15" customHeight="1" x14ac:dyDescent="0.15">
      <c r="A838" s="142" t="s">
        <v>2300</v>
      </c>
      <c r="B838" s="142">
        <v>20</v>
      </c>
      <c r="C838" s="143" t="s">
        <v>2338</v>
      </c>
      <c r="D838" s="143">
        <v>1922</v>
      </c>
      <c r="E838" s="144" t="s">
        <v>20</v>
      </c>
      <c r="F838" s="143" t="s">
        <v>2339</v>
      </c>
      <c r="G838" s="143"/>
      <c r="H838" s="142"/>
      <c r="I838" s="143"/>
      <c r="J838" s="142"/>
      <c r="K838" s="142"/>
      <c r="L838" s="142"/>
      <c r="M838" s="142"/>
      <c r="N838" s="12"/>
      <c r="O838" s="12" t="e">
        <v>#VALUE!</v>
      </c>
      <c r="P838" s="13" t="str">
        <f t="shared" si="14"/>
        <v/>
      </c>
      <c r="Q838" s="158"/>
      <c r="R838" s="142"/>
    </row>
    <row r="839" spans="1:18" s="139" customFormat="1" ht="33.75" customHeight="1" x14ac:dyDescent="0.15">
      <c r="A839" s="142" t="s">
        <v>2300</v>
      </c>
      <c r="B839" s="142">
        <v>20</v>
      </c>
      <c r="C839" s="143" t="s">
        <v>2338</v>
      </c>
      <c r="D839" s="143">
        <v>1922</v>
      </c>
      <c r="E839" s="144" t="s">
        <v>34</v>
      </c>
      <c r="F839" s="143"/>
      <c r="G839" s="143" t="s">
        <v>2340</v>
      </c>
      <c r="H839" s="142" t="s">
        <v>464</v>
      </c>
      <c r="I839" s="143" t="s">
        <v>947</v>
      </c>
      <c r="J839" s="142" t="s">
        <v>2341</v>
      </c>
      <c r="K839" s="142" t="s">
        <v>2342</v>
      </c>
      <c r="L839" s="142"/>
      <c r="M839" s="142"/>
      <c r="N839" s="81"/>
      <c r="O839" s="23" t="e">
        <v>#VALUE!</v>
      </c>
      <c r="P839" s="24" t="str">
        <f t="shared" si="14"/>
        <v/>
      </c>
      <c r="Q839" s="82" t="str">
        <f>HYPERLINK("http://www.kameyamarekihaku.jp/sisi/seckam3/chizushiro.php","市史考古分野(各コンテンツ)「亀山城跡を歩く」")</f>
        <v>市史考古分野(各コンテンツ)「亀山城跡を歩く」</v>
      </c>
      <c r="R839" s="142"/>
    </row>
    <row r="840" spans="1:18" s="139" customFormat="1" ht="15" customHeight="1" x14ac:dyDescent="0.15">
      <c r="A840" s="142" t="s">
        <v>2300</v>
      </c>
      <c r="B840" s="142">
        <v>20</v>
      </c>
      <c r="C840" s="143" t="s">
        <v>2343</v>
      </c>
      <c r="D840" s="143">
        <v>1923</v>
      </c>
      <c r="E840" s="144" t="s">
        <v>20</v>
      </c>
      <c r="F840" s="143" t="s">
        <v>2344</v>
      </c>
      <c r="G840" s="143"/>
      <c r="H840" s="142"/>
      <c r="I840" s="143"/>
      <c r="J840" s="142"/>
      <c r="K840" s="142"/>
      <c r="L840" s="142"/>
      <c r="M840" s="142"/>
      <c r="N840" s="12"/>
      <c r="O840" s="12" t="e">
        <v>#VALUE!</v>
      </c>
      <c r="P840" s="13" t="str">
        <f t="shared" si="14"/>
        <v/>
      </c>
      <c r="Q840" s="158"/>
      <c r="R840" s="142"/>
    </row>
    <row r="841" spans="1:18" s="139" customFormat="1" ht="15" customHeight="1" x14ac:dyDescent="0.15">
      <c r="A841" s="142" t="s">
        <v>2300</v>
      </c>
      <c r="B841" s="142">
        <v>20</v>
      </c>
      <c r="C841" s="143" t="s">
        <v>2345</v>
      </c>
      <c r="D841" s="143">
        <v>1924</v>
      </c>
      <c r="E841" s="144" t="s">
        <v>20</v>
      </c>
      <c r="F841" s="143" t="s">
        <v>2346</v>
      </c>
      <c r="G841" s="143"/>
      <c r="H841" s="142"/>
      <c r="I841" s="143"/>
      <c r="J841" s="142"/>
      <c r="K841" s="142"/>
      <c r="L841" s="142"/>
      <c r="M841" s="142"/>
      <c r="N841" s="12"/>
      <c r="O841" s="12" t="e">
        <v>#VALUE!</v>
      </c>
      <c r="P841" s="13" t="str">
        <f t="shared" si="14"/>
        <v/>
      </c>
      <c r="Q841" s="158"/>
      <c r="R841" s="142"/>
    </row>
    <row r="842" spans="1:18" s="139" customFormat="1" ht="28.5" customHeight="1" x14ac:dyDescent="0.15">
      <c r="A842" s="142" t="s">
        <v>2300</v>
      </c>
      <c r="B842" s="142">
        <v>20</v>
      </c>
      <c r="C842" s="143" t="s">
        <v>2347</v>
      </c>
      <c r="D842" s="143">
        <v>1925</v>
      </c>
      <c r="E842" s="144" t="s">
        <v>20</v>
      </c>
      <c r="F842" s="143" t="s">
        <v>2348</v>
      </c>
      <c r="G842" s="143"/>
      <c r="H842" s="142"/>
      <c r="I842" s="143"/>
      <c r="J842" s="142"/>
      <c r="K842" s="142"/>
      <c r="L842" s="142"/>
      <c r="M842" s="142"/>
      <c r="N842" s="12"/>
      <c r="O842" s="12" t="e">
        <v>#VALUE!</v>
      </c>
      <c r="P842" s="13" t="str">
        <f t="shared" si="14"/>
        <v/>
      </c>
      <c r="Q842" s="158"/>
      <c r="R842" s="142"/>
    </row>
    <row r="843" spans="1:18" s="139" customFormat="1" ht="30.75" customHeight="1" x14ac:dyDescent="0.15">
      <c r="A843" s="145" t="s">
        <v>2300</v>
      </c>
      <c r="B843" s="145">
        <v>20</v>
      </c>
      <c r="C843" s="146" t="s">
        <v>2347</v>
      </c>
      <c r="D843" s="146">
        <v>1925</v>
      </c>
      <c r="E843" s="147" t="s">
        <v>20</v>
      </c>
      <c r="F843" s="146"/>
      <c r="G843" s="146" t="s">
        <v>2349</v>
      </c>
      <c r="H843" s="88" t="s">
        <v>2350</v>
      </c>
      <c r="I843" s="163" t="s">
        <v>2351</v>
      </c>
      <c r="J843" s="231" t="s">
        <v>2352</v>
      </c>
      <c r="K843" s="145"/>
      <c r="L843" s="145"/>
      <c r="M843" s="347" t="s">
        <v>2353</v>
      </c>
      <c r="N843" s="74" t="s">
        <v>2287</v>
      </c>
      <c r="O843" s="32" t="s">
        <v>2283</v>
      </c>
      <c r="P843" s="33" t="str">
        <f t="shared" si="14"/>
        <v>日本の歴史の中の亀山／近代の亀山／亀山の近代文化と日常生活／電気の普及</v>
      </c>
      <c r="Q843" s="71" t="str">
        <f>HYPERLINK("http:/kameyamarekihaku.jp/sisi/RekisiHP/kingendai/quiz/tatemono/tatemono.html","市史近代・現代ページ 建物クイズ")</f>
        <v>市史近代・現代ページ 建物クイズ</v>
      </c>
      <c r="R843" s="145" t="s">
        <v>2354</v>
      </c>
    </row>
    <row r="844" spans="1:18" s="139" customFormat="1" ht="30.75" customHeight="1" x14ac:dyDescent="0.15">
      <c r="A844" s="151"/>
      <c r="B844" s="151"/>
      <c r="C844" s="152"/>
      <c r="D844" s="152"/>
      <c r="E844" s="153"/>
      <c r="F844" s="152"/>
      <c r="G844" s="152"/>
      <c r="H844" s="91"/>
      <c r="I844" s="169"/>
      <c r="J844" s="232"/>
      <c r="K844" s="151"/>
      <c r="L844" s="151"/>
      <c r="M844" s="348"/>
      <c r="N844" s="53" t="s">
        <v>2355</v>
      </c>
      <c r="O844" s="29" t="s">
        <v>2356</v>
      </c>
      <c r="P844" s="30" t="str">
        <f t="shared" si="14"/>
        <v>日本の歴史の中の亀山／現代の亀山／交通と通信／電話（電報電話局）</v>
      </c>
      <c r="Q844" s="102"/>
      <c r="R844" s="151"/>
    </row>
    <row r="845" spans="1:18" s="139" customFormat="1" ht="49.5" customHeight="1" x14ac:dyDescent="0.15">
      <c r="A845" s="151" t="s">
        <v>2357</v>
      </c>
      <c r="B845" s="151">
        <v>20</v>
      </c>
      <c r="C845" s="152" t="s">
        <v>2358</v>
      </c>
      <c r="D845" s="152">
        <v>1926</v>
      </c>
      <c r="E845" s="153" t="s">
        <v>34</v>
      </c>
      <c r="F845" s="152"/>
      <c r="G845" s="152" t="s">
        <v>2359</v>
      </c>
      <c r="H845" s="151" t="s">
        <v>464</v>
      </c>
      <c r="I845" s="152" t="s">
        <v>2360</v>
      </c>
      <c r="K845" s="151"/>
      <c r="L845" s="102" t="str">
        <f>HYPERLINK("http://kameyamarekihaku.jp/sisi/tuusiHP_next/kingendai/image/07/gi.htm?pf=3060sh007-03.JPG&amp;?pn=%E9%B3%A5%E5%B1%85%E8%90%BD%E6%88%90%E7%B4%80%E5%BF%B5%E5%86%99%E7%9C%9F","画像史料：能褒野神社一の鳥居（大正十五年三月）")</f>
        <v>画像史料：能褒野神社一の鳥居（大正十五年三月）</v>
      </c>
      <c r="M845" s="151" t="s">
        <v>2361</v>
      </c>
      <c r="N845" s="29" t="s">
        <v>2122</v>
      </c>
      <c r="O845" s="29" t="s">
        <v>2123</v>
      </c>
      <c r="P845" s="30" t="str">
        <f t="shared" si="14"/>
        <v>日本の歴史の中の亀山／近代の亀山／亀山の近代文化と日常生活／能褒野古墳の整備と神社</v>
      </c>
      <c r="Q845" s="10" t="str">
        <f>HYPERLINK("http:/kameyamarekihaku.jp/sisi/tuusiHP_next/tuusi-index.html#kingendai0701","市史通史編 近代・現代第7章第1節")</f>
        <v>市史通史編 近代・現代第7章第1節</v>
      </c>
      <c r="R845" s="151" t="s">
        <v>2362</v>
      </c>
    </row>
    <row r="846" spans="1:18" s="139" customFormat="1" ht="32.25" customHeight="1" x14ac:dyDescent="0.15">
      <c r="A846" s="142" t="s">
        <v>2357</v>
      </c>
      <c r="B846" s="142">
        <v>20</v>
      </c>
      <c r="C846" s="143" t="s">
        <v>2358</v>
      </c>
      <c r="D846" s="143">
        <v>1926</v>
      </c>
      <c r="E846" s="144" t="s">
        <v>20</v>
      </c>
      <c r="F846" s="143"/>
      <c r="G846" s="143" t="s">
        <v>2363</v>
      </c>
      <c r="H846" s="120" t="s">
        <v>464</v>
      </c>
      <c r="I846" s="175" t="s">
        <v>1833</v>
      </c>
      <c r="J846" s="112" t="s">
        <v>2364</v>
      </c>
      <c r="K846" s="142"/>
      <c r="L846" s="82" t="str">
        <f>HYPERLINK("http://kameyamarekihaku.jp/sisi/RekisiHP/kingendai/gunyakusho/heimenzu/heimenzu.html","画像史料：鈴鹿郡役所平面図")</f>
        <v>画像史料：鈴鹿郡役所平面図</v>
      </c>
      <c r="M846" s="142"/>
      <c r="N846" s="23"/>
      <c r="O846" s="23" t="e">
        <v>#VALUE!</v>
      </c>
      <c r="P846" s="24" t="str">
        <f t="shared" si="14"/>
        <v/>
      </c>
      <c r="Q846" s="25" t="str">
        <f>HYPERLINK("http://kameyamarekihaku.jp/sisi/RekisiHP/kingendai/gunyakusho/gaisetu.html","市史近代・現代ページ　鈴鹿郡を知ろう")</f>
        <v>市史近代・現代ページ　鈴鹿郡を知ろう</v>
      </c>
      <c r="R846" s="142" t="s">
        <v>2365</v>
      </c>
    </row>
    <row r="847" spans="1:18" s="139" customFormat="1" ht="28.5" customHeight="1" x14ac:dyDescent="0.15">
      <c r="A847" s="142" t="s">
        <v>2357</v>
      </c>
      <c r="B847" s="142">
        <v>20</v>
      </c>
      <c r="C847" s="143" t="s">
        <v>2358</v>
      </c>
      <c r="D847" s="143">
        <v>1926</v>
      </c>
      <c r="E847" s="144" t="s">
        <v>34</v>
      </c>
      <c r="F847" s="143"/>
      <c r="G847" s="143" t="s">
        <v>2366</v>
      </c>
      <c r="H847" s="142" t="s">
        <v>2131</v>
      </c>
      <c r="I847" s="175" t="s">
        <v>2367</v>
      </c>
      <c r="J847" s="142" t="s">
        <v>2368</v>
      </c>
      <c r="K847" s="142"/>
      <c r="L847" s="142"/>
      <c r="M847" s="142"/>
      <c r="N847" s="12" t="s">
        <v>2369</v>
      </c>
      <c r="O847" s="12" t="s">
        <v>2370</v>
      </c>
      <c r="P847" s="13" t="str">
        <f t="shared" si="14"/>
        <v>日本の歴史の中の亀山／近代の亀山／亀山の近代文化と日常生活／劇場</v>
      </c>
      <c r="Q847" s="158"/>
      <c r="R847" s="142" t="s">
        <v>2371</v>
      </c>
    </row>
    <row r="848" spans="1:18" s="139" customFormat="1" ht="28.5" customHeight="1" x14ac:dyDescent="0.15">
      <c r="A848" s="142" t="s">
        <v>2357</v>
      </c>
      <c r="B848" s="142">
        <v>20</v>
      </c>
      <c r="C848" s="143" t="s">
        <v>2372</v>
      </c>
      <c r="D848" s="143">
        <v>1926</v>
      </c>
      <c r="E848" s="144" t="s">
        <v>20</v>
      </c>
      <c r="F848" s="143"/>
      <c r="G848" s="143" t="s">
        <v>2373</v>
      </c>
      <c r="H848" s="142" t="s">
        <v>2131</v>
      </c>
      <c r="I848" s="175" t="s">
        <v>2367</v>
      </c>
      <c r="J848" s="142" t="s">
        <v>2374</v>
      </c>
      <c r="K848" s="142"/>
      <c r="L848" s="142"/>
      <c r="M848" s="142"/>
      <c r="N848" s="12"/>
      <c r="O848" s="12" t="e">
        <v>#VALUE!</v>
      </c>
      <c r="P848" s="13" t="str">
        <f t="shared" si="14"/>
        <v/>
      </c>
      <c r="Q848" s="158"/>
      <c r="R848" s="142" t="s">
        <v>2371</v>
      </c>
    </row>
    <row r="849" spans="1:18" s="139" customFormat="1" ht="43.5" customHeight="1" x14ac:dyDescent="0.15">
      <c r="A849" s="145" t="s">
        <v>2375</v>
      </c>
      <c r="B849" s="145">
        <v>20</v>
      </c>
      <c r="C849" s="146" t="s">
        <v>2376</v>
      </c>
      <c r="D849" s="146">
        <v>1927</v>
      </c>
      <c r="E849" s="147" t="s">
        <v>20</v>
      </c>
      <c r="F849" s="146"/>
      <c r="G849" s="146" t="s">
        <v>2377</v>
      </c>
      <c r="H849" s="145" t="s">
        <v>250</v>
      </c>
      <c r="I849" s="146" t="s">
        <v>2378</v>
      </c>
      <c r="J849" s="145" t="s">
        <v>2379</v>
      </c>
      <c r="K849" s="145" t="s">
        <v>2380</v>
      </c>
      <c r="L849" s="145"/>
      <c r="M849" s="145"/>
      <c r="N849" s="32" t="s">
        <v>2381</v>
      </c>
      <c r="O849" s="32" t="s">
        <v>2382</v>
      </c>
      <c r="P849" s="33" t="str">
        <f t="shared" si="14"/>
        <v>日本の歴史の中の亀山／近代の亀山／産業革命の進展とその後の産業／ローソク（１）</v>
      </c>
      <c r="Q849" s="17" t="str">
        <f>HYPERLINK("http:/kameyamarekihaku.jp/sisi/tuusiHP_next/tuusi-index.html#kingendai0802","市史通史編 近代・現代第8章第2節")</f>
        <v>市史通史編 近代・現代第8章第2節</v>
      </c>
      <c r="R849" s="145" t="s">
        <v>2383</v>
      </c>
    </row>
    <row r="850" spans="1:18" s="139" customFormat="1" ht="33" customHeight="1" x14ac:dyDescent="0.15">
      <c r="A850" s="151"/>
      <c r="B850" s="151"/>
      <c r="C850" s="152"/>
      <c r="D850" s="152"/>
      <c r="E850" s="153"/>
      <c r="F850" s="152"/>
      <c r="G850" s="152"/>
      <c r="H850" s="151"/>
      <c r="I850" s="152"/>
      <c r="J850" s="151"/>
      <c r="K850" s="151"/>
      <c r="L850" s="151"/>
      <c r="M850" s="151"/>
      <c r="N850" s="29" t="s">
        <v>2384</v>
      </c>
      <c r="O850" s="29" t="s">
        <v>2385</v>
      </c>
      <c r="P850" s="30" t="str">
        <f t="shared" si="14"/>
        <v>日本の歴史の中の亀山／現代の亀山／産業／工業／ローソク（２）</v>
      </c>
      <c r="Q850" s="10"/>
      <c r="R850" s="151"/>
    </row>
    <row r="851" spans="1:18" s="139" customFormat="1" ht="15" customHeight="1" x14ac:dyDescent="0.15">
      <c r="A851" s="142" t="s">
        <v>2375</v>
      </c>
      <c r="B851" s="142">
        <v>20</v>
      </c>
      <c r="C851" s="143" t="s">
        <v>2376</v>
      </c>
      <c r="D851" s="143">
        <v>1927</v>
      </c>
      <c r="E851" s="144" t="s">
        <v>20</v>
      </c>
      <c r="F851" s="143"/>
      <c r="G851" s="143" t="s">
        <v>2386</v>
      </c>
      <c r="H851" s="142" t="s">
        <v>2387</v>
      </c>
      <c r="I851" s="175" t="s">
        <v>2388</v>
      </c>
      <c r="J851" s="142" t="s">
        <v>2389</v>
      </c>
      <c r="K851" s="142"/>
      <c r="L851" s="142"/>
      <c r="M851" s="142"/>
      <c r="N851" s="12"/>
      <c r="O851" s="12" t="e">
        <v>#VALUE!</v>
      </c>
      <c r="P851" s="13" t="str">
        <f t="shared" si="14"/>
        <v/>
      </c>
      <c r="Q851" s="158"/>
      <c r="R851" s="142" t="s">
        <v>2365</v>
      </c>
    </row>
    <row r="852" spans="1:18" s="139" customFormat="1" ht="43.5" customHeight="1" x14ac:dyDescent="0.15">
      <c r="A852" s="142" t="s">
        <v>2375</v>
      </c>
      <c r="B852" s="142">
        <v>20</v>
      </c>
      <c r="C852" s="143" t="s">
        <v>2376</v>
      </c>
      <c r="D852" s="143">
        <v>1927</v>
      </c>
      <c r="E852" s="144" t="s">
        <v>20</v>
      </c>
      <c r="F852" s="143"/>
      <c r="G852" s="143" t="s">
        <v>2390</v>
      </c>
      <c r="H852" s="142" t="s">
        <v>2131</v>
      </c>
      <c r="I852" s="175"/>
      <c r="J852" s="142" t="s">
        <v>2391</v>
      </c>
      <c r="K852" s="142"/>
      <c r="L852" s="142"/>
      <c r="M852" s="142"/>
      <c r="N852" s="12"/>
      <c r="O852" s="12" t="e">
        <v>#VALUE!</v>
      </c>
      <c r="P852" s="13" t="str">
        <f t="shared" si="14"/>
        <v/>
      </c>
      <c r="Q852" s="158"/>
      <c r="R852" s="142" t="s">
        <v>2371</v>
      </c>
    </row>
    <row r="853" spans="1:18" s="139" customFormat="1" ht="28.5" customHeight="1" x14ac:dyDescent="0.15">
      <c r="A853" s="142" t="s">
        <v>2375</v>
      </c>
      <c r="B853" s="142">
        <v>20</v>
      </c>
      <c r="C853" s="143" t="s">
        <v>2376</v>
      </c>
      <c r="D853" s="143">
        <v>1927</v>
      </c>
      <c r="E853" s="144" t="s">
        <v>20</v>
      </c>
      <c r="F853" s="143"/>
      <c r="G853" s="143" t="s">
        <v>2392</v>
      </c>
      <c r="H853" s="142" t="s">
        <v>1336</v>
      </c>
      <c r="I853" s="143" t="s">
        <v>2393</v>
      </c>
      <c r="J853" s="142" t="s">
        <v>2394</v>
      </c>
      <c r="K853" s="142"/>
      <c r="L853" s="142"/>
      <c r="M853" s="142"/>
      <c r="N853" s="12"/>
      <c r="O853" s="12" t="e">
        <v>#VALUE!</v>
      </c>
      <c r="P853" s="13" t="str">
        <f t="shared" si="14"/>
        <v/>
      </c>
      <c r="Q853" s="158"/>
      <c r="R853" s="142" t="s">
        <v>2371</v>
      </c>
    </row>
    <row r="854" spans="1:18" s="139" customFormat="1" ht="28.5" customHeight="1" x14ac:dyDescent="0.15">
      <c r="A854" s="142" t="s">
        <v>2375</v>
      </c>
      <c r="B854" s="142">
        <v>20</v>
      </c>
      <c r="C854" s="143" t="s">
        <v>2376</v>
      </c>
      <c r="D854" s="143">
        <v>1927</v>
      </c>
      <c r="E854" s="144" t="s">
        <v>20</v>
      </c>
      <c r="F854" s="143"/>
      <c r="G854" s="143" t="s">
        <v>2395</v>
      </c>
      <c r="H854" s="142" t="s">
        <v>2396</v>
      </c>
      <c r="I854" s="175" t="s">
        <v>2397</v>
      </c>
      <c r="J854" s="142" t="s">
        <v>2398</v>
      </c>
      <c r="K854" s="142"/>
      <c r="L854" s="142"/>
      <c r="M854" s="142"/>
      <c r="N854" s="12"/>
      <c r="O854" s="12" t="e">
        <v>#VALUE!</v>
      </c>
      <c r="P854" s="13" t="str">
        <f t="shared" si="14"/>
        <v/>
      </c>
      <c r="Q854" s="158"/>
      <c r="R854" s="142" t="s">
        <v>2371</v>
      </c>
    </row>
    <row r="855" spans="1:18" s="139" customFormat="1" ht="33" customHeight="1" x14ac:dyDescent="0.15">
      <c r="A855" s="142" t="s">
        <v>2375</v>
      </c>
      <c r="B855" s="142">
        <v>20</v>
      </c>
      <c r="C855" s="143" t="s">
        <v>2376</v>
      </c>
      <c r="D855" s="143">
        <v>1927</v>
      </c>
      <c r="E855" s="144" t="s">
        <v>34</v>
      </c>
      <c r="F855" s="143"/>
      <c r="G855" s="143" t="s">
        <v>2399</v>
      </c>
      <c r="H855" s="142" t="s">
        <v>2396</v>
      </c>
      <c r="I855" s="175" t="s">
        <v>2367</v>
      </c>
      <c r="J855" s="142" t="s">
        <v>2400</v>
      </c>
      <c r="K855" s="142"/>
      <c r="L855" s="142"/>
      <c r="M855" s="142" t="s">
        <v>2401</v>
      </c>
      <c r="N855" s="12" t="s">
        <v>2402</v>
      </c>
      <c r="O855" s="12" t="s">
        <v>2370</v>
      </c>
      <c r="P855" s="13" t="str">
        <f t="shared" si="14"/>
        <v>日本の歴史の中の亀山／近代の亀山／亀山の近代文化と日常生活／劇場</v>
      </c>
      <c r="Q855" s="158"/>
      <c r="R855" s="142" t="s">
        <v>2371</v>
      </c>
    </row>
    <row r="856" spans="1:18" s="139" customFormat="1" ht="15" customHeight="1" x14ac:dyDescent="0.15">
      <c r="A856" s="142" t="s">
        <v>2375</v>
      </c>
      <c r="B856" s="142">
        <v>20</v>
      </c>
      <c r="C856" s="143" t="s">
        <v>2376</v>
      </c>
      <c r="D856" s="143">
        <v>1927</v>
      </c>
      <c r="E856" s="144" t="s">
        <v>20</v>
      </c>
      <c r="F856" s="143"/>
      <c r="G856" s="143" t="s">
        <v>2403</v>
      </c>
      <c r="H856" s="142" t="s">
        <v>2396</v>
      </c>
      <c r="I856" s="175"/>
      <c r="J856" s="142" t="s">
        <v>2404</v>
      </c>
      <c r="K856" s="142"/>
      <c r="L856" s="142"/>
      <c r="M856" s="142"/>
      <c r="N856" s="12"/>
      <c r="O856" s="12" t="e">
        <v>#VALUE!</v>
      </c>
      <c r="P856" s="13" t="str">
        <f t="shared" si="14"/>
        <v/>
      </c>
      <c r="Q856" s="158"/>
      <c r="R856" s="142" t="s">
        <v>2371</v>
      </c>
    </row>
    <row r="857" spans="1:18" s="139" customFormat="1" ht="15" customHeight="1" x14ac:dyDescent="0.15">
      <c r="A857" s="142" t="s">
        <v>2375</v>
      </c>
      <c r="B857" s="142">
        <v>20</v>
      </c>
      <c r="C857" s="143" t="s">
        <v>2376</v>
      </c>
      <c r="D857" s="143">
        <v>1927</v>
      </c>
      <c r="E857" s="144" t="s">
        <v>20</v>
      </c>
      <c r="F857" s="143"/>
      <c r="G857" s="143" t="s">
        <v>2405</v>
      </c>
      <c r="H857" s="142" t="s">
        <v>2396</v>
      </c>
      <c r="I857" s="143"/>
      <c r="J857" s="142"/>
      <c r="K857" s="142"/>
      <c r="L857" s="142"/>
      <c r="M857" s="142"/>
      <c r="N857" s="12"/>
      <c r="O857" s="12" t="e">
        <v>#VALUE!</v>
      </c>
      <c r="P857" s="13" t="str">
        <f t="shared" si="14"/>
        <v/>
      </c>
      <c r="Q857" s="158"/>
      <c r="R857" s="142" t="s">
        <v>2371</v>
      </c>
    </row>
    <row r="858" spans="1:18" s="139" customFormat="1" ht="15" customHeight="1" x14ac:dyDescent="0.15">
      <c r="A858" s="142" t="s">
        <v>2375</v>
      </c>
      <c r="B858" s="142">
        <v>20</v>
      </c>
      <c r="C858" s="143" t="s">
        <v>2406</v>
      </c>
      <c r="D858" s="143">
        <v>1928</v>
      </c>
      <c r="E858" s="144" t="s">
        <v>20</v>
      </c>
      <c r="F858" s="143"/>
      <c r="G858" s="143" t="s">
        <v>2407</v>
      </c>
      <c r="H858" s="142" t="s">
        <v>2408</v>
      </c>
      <c r="I858" s="175" t="s">
        <v>2409</v>
      </c>
      <c r="J858" s="142" t="s">
        <v>2410</v>
      </c>
      <c r="K858" s="142"/>
      <c r="L858" s="142"/>
      <c r="M858" s="142"/>
      <c r="N858" s="12"/>
      <c r="O858" s="12" t="e">
        <v>#VALUE!</v>
      </c>
      <c r="P858" s="13" t="str">
        <f t="shared" si="14"/>
        <v/>
      </c>
      <c r="Q858" s="158"/>
      <c r="R858" s="142" t="s">
        <v>2365</v>
      </c>
    </row>
    <row r="859" spans="1:18" s="139" customFormat="1" ht="28.5" customHeight="1" x14ac:dyDescent="0.15">
      <c r="A859" s="142" t="s">
        <v>2375</v>
      </c>
      <c r="B859" s="142">
        <v>20</v>
      </c>
      <c r="C859" s="143" t="s">
        <v>2406</v>
      </c>
      <c r="D859" s="143">
        <v>1928</v>
      </c>
      <c r="E859" s="144" t="s">
        <v>20</v>
      </c>
      <c r="F859" s="143"/>
      <c r="G859" s="143" t="s">
        <v>2411</v>
      </c>
      <c r="H859" s="142" t="s">
        <v>2396</v>
      </c>
      <c r="I859" s="143"/>
      <c r="J859" s="142"/>
      <c r="K859" s="142"/>
      <c r="L859" s="142"/>
      <c r="M859" s="142"/>
      <c r="N859" s="12"/>
      <c r="O859" s="12" t="e">
        <v>#VALUE!</v>
      </c>
      <c r="P859" s="13" t="str">
        <f t="shared" si="14"/>
        <v/>
      </c>
      <c r="Q859" s="158"/>
      <c r="R859" s="142" t="s">
        <v>2371</v>
      </c>
    </row>
    <row r="860" spans="1:18" s="139" customFormat="1" ht="34.5" customHeight="1" x14ac:dyDescent="0.15">
      <c r="A860" s="142" t="s">
        <v>2375</v>
      </c>
      <c r="B860" s="142">
        <v>20</v>
      </c>
      <c r="C860" s="143" t="s">
        <v>2412</v>
      </c>
      <c r="D860" s="143">
        <v>1929</v>
      </c>
      <c r="E860" s="144" t="s">
        <v>59</v>
      </c>
      <c r="F860" s="161" t="s">
        <v>2413</v>
      </c>
      <c r="G860" s="143"/>
      <c r="H860" s="142"/>
      <c r="I860" s="143"/>
      <c r="J860" s="142"/>
      <c r="K860" s="142"/>
      <c r="L860" s="142"/>
      <c r="M860" s="142"/>
      <c r="N860" s="12" t="s">
        <v>2414</v>
      </c>
      <c r="O860" s="12" t="s">
        <v>2415</v>
      </c>
      <c r="P860" s="13" t="str">
        <f t="shared" si="14"/>
        <v>日本の歴史の中の亀山／近代の亀山／世界恐慌と亀山地域</v>
      </c>
      <c r="Q860" s="158"/>
      <c r="R860" s="142"/>
    </row>
    <row r="861" spans="1:18" s="139" customFormat="1" ht="28.5" customHeight="1" x14ac:dyDescent="0.15">
      <c r="A861" s="142" t="s">
        <v>2375</v>
      </c>
      <c r="B861" s="142">
        <v>20</v>
      </c>
      <c r="C861" s="143"/>
      <c r="D861" s="143"/>
      <c r="E861" s="144" t="s">
        <v>20</v>
      </c>
      <c r="F861" s="143" t="s">
        <v>2416</v>
      </c>
      <c r="G861" s="143"/>
      <c r="H861" s="142"/>
      <c r="I861" s="143"/>
      <c r="J861" s="142"/>
      <c r="K861" s="142"/>
      <c r="L861" s="142"/>
      <c r="M861" s="142"/>
      <c r="N861" s="12"/>
      <c r="O861" s="12" t="e">
        <v>#VALUE!</v>
      </c>
      <c r="P861" s="13" t="str">
        <f t="shared" si="14"/>
        <v/>
      </c>
      <c r="Q861" s="158"/>
      <c r="R861" s="142"/>
    </row>
    <row r="862" spans="1:18" s="139" customFormat="1" ht="62.25" customHeight="1" x14ac:dyDescent="0.15">
      <c r="A862" s="142" t="s">
        <v>2375</v>
      </c>
      <c r="B862" s="142">
        <v>20</v>
      </c>
      <c r="C862" s="143" t="s">
        <v>2412</v>
      </c>
      <c r="D862" s="143">
        <v>1929</v>
      </c>
      <c r="E862" s="144" t="s">
        <v>20</v>
      </c>
      <c r="F862" s="143"/>
      <c r="G862" s="143" t="s">
        <v>2417</v>
      </c>
      <c r="H862" s="142" t="s">
        <v>464</v>
      </c>
      <c r="I862" s="143" t="s">
        <v>2256</v>
      </c>
      <c r="J862" s="142" t="s">
        <v>2418</v>
      </c>
      <c r="K862" s="142"/>
      <c r="L862" s="142" t="s">
        <v>2419</v>
      </c>
      <c r="M862" s="142"/>
      <c r="N862" s="12" t="s">
        <v>2420</v>
      </c>
      <c r="O862" s="12" t="s">
        <v>2421</v>
      </c>
      <c r="P862" s="13" t="str">
        <f t="shared" si="14"/>
        <v>日本の歴史の中の亀山／現代の亀山／教育と医療・福祉／幼稚園</v>
      </c>
      <c r="Q862" s="158"/>
      <c r="R862" s="142" t="s">
        <v>2422</v>
      </c>
    </row>
    <row r="863" spans="1:18" s="139" customFormat="1" ht="24" customHeight="1" x14ac:dyDescent="0.15">
      <c r="A863" s="145" t="s">
        <v>2375</v>
      </c>
      <c r="B863" s="145">
        <v>20</v>
      </c>
      <c r="C863" s="146" t="s">
        <v>2412</v>
      </c>
      <c r="D863" s="146">
        <v>1929</v>
      </c>
      <c r="E863" s="147" t="s">
        <v>20</v>
      </c>
      <c r="F863" s="146"/>
      <c r="G863" s="146" t="s">
        <v>2423</v>
      </c>
      <c r="H863" s="145" t="s">
        <v>464</v>
      </c>
      <c r="I863" s="146"/>
      <c r="J863" s="145" t="s">
        <v>2424</v>
      </c>
      <c r="K863" s="145"/>
      <c r="L863" s="145" t="s">
        <v>2425</v>
      </c>
      <c r="M863" s="145"/>
      <c r="N863" s="32"/>
      <c r="O863" s="32" t="e">
        <v>#VALUE!</v>
      </c>
      <c r="P863" s="33" t="str">
        <f t="shared" si="14"/>
        <v/>
      </c>
      <c r="Q863" s="337" t="str">
        <f>HYPERLINK("http:/kameyamarekihaku.jp/sisi/RekisiHP/kingendai/quiz/kawa.hasi.mici/hasi.kawa.michi.html","市史近代・現代ページ 道・橋・川クイズ")</f>
        <v>市史近代・現代ページ 道・橋・川クイズ</v>
      </c>
      <c r="R863" s="145" t="s">
        <v>2426</v>
      </c>
    </row>
    <row r="864" spans="1:18" s="139" customFormat="1" ht="21" customHeight="1" x14ac:dyDescent="0.15">
      <c r="A864" s="151"/>
      <c r="B864" s="151"/>
      <c r="C864" s="152"/>
      <c r="D864" s="152"/>
      <c r="E864" s="153"/>
      <c r="F864" s="152"/>
      <c r="G864" s="152"/>
      <c r="H864" s="151"/>
      <c r="I864" s="152"/>
      <c r="J864" s="151"/>
      <c r="K864" s="151"/>
      <c r="L864" s="102" t="str">
        <f>HYPERLINK("http://kameyamarekihaku.jp/sisi/MinzokuHP/jirei/bunrui5/data5-1/gi.htm?pf=037.jpg&amp;pn=%E6%98%AD%E5%92%8C%E5%88%9D%E6%9C%9F%E4%BA%AC%E5%8F%A3%E5%9D%82","画像史料：昭和初期京口坂(古写真)")</f>
        <v>画像史料：昭和初期京口坂(古写真)</v>
      </c>
      <c r="M864" s="151"/>
      <c r="N864" s="29"/>
      <c r="O864" s="29" t="e">
        <v>#VALUE!</v>
      </c>
      <c r="P864" s="30" t="str">
        <f t="shared" si="14"/>
        <v/>
      </c>
      <c r="Q864" s="339"/>
      <c r="R864" s="151"/>
    </row>
    <row r="865" spans="1:18" s="139" customFormat="1" ht="43.5" customHeight="1" x14ac:dyDescent="0.15">
      <c r="A865" s="142" t="s">
        <v>2375</v>
      </c>
      <c r="B865" s="142">
        <v>20</v>
      </c>
      <c r="C865" s="143" t="s">
        <v>2412</v>
      </c>
      <c r="D865" s="143">
        <v>1929</v>
      </c>
      <c r="E865" s="144" t="s">
        <v>20</v>
      </c>
      <c r="F865" s="143"/>
      <c r="G865" s="143" t="s">
        <v>2427</v>
      </c>
      <c r="H865" s="142" t="s">
        <v>464</v>
      </c>
      <c r="I865" s="143" t="s">
        <v>2428</v>
      </c>
      <c r="J865" s="142" t="s">
        <v>2429</v>
      </c>
      <c r="K865" s="142"/>
      <c r="L865" s="142"/>
      <c r="M865" s="142"/>
      <c r="N865" s="12" t="s">
        <v>2282</v>
      </c>
      <c r="O865" s="12" t="s">
        <v>2283</v>
      </c>
      <c r="P865" s="13" t="str">
        <f t="shared" si="14"/>
        <v>日本の歴史の中の亀山／近代の亀山／亀山の近代文化と日常生活／電気の普及</v>
      </c>
      <c r="Q865" s="158"/>
      <c r="R865" s="142" t="s">
        <v>2365</v>
      </c>
    </row>
    <row r="866" spans="1:18" s="139" customFormat="1" ht="28.5" customHeight="1" x14ac:dyDescent="0.15">
      <c r="A866" s="142" t="s">
        <v>2375</v>
      </c>
      <c r="B866" s="142">
        <v>20</v>
      </c>
      <c r="C866" s="143" t="s">
        <v>2412</v>
      </c>
      <c r="D866" s="143">
        <v>1929</v>
      </c>
      <c r="E866" s="144" t="s">
        <v>20</v>
      </c>
      <c r="F866" s="143"/>
      <c r="G866" s="143" t="s">
        <v>2430</v>
      </c>
      <c r="H866" s="142" t="s">
        <v>464</v>
      </c>
      <c r="I866" s="143" t="s">
        <v>2303</v>
      </c>
      <c r="J866" s="142" t="s">
        <v>2431</v>
      </c>
      <c r="K866" s="142"/>
      <c r="L866" s="82" t="str">
        <f>HYPERLINK("http://kameyamarekihaku.jp/sisi/tuusiHP_next/kingendai/image/06/gi.htm?pf=3051sh006-01.JPG&amp;?pn=%20%E9%88%B4%E9%B9%BF%E9%83%A1%E7%AB%8B%E8%BE%B2%E5%AD%A6%E6%A0%A1%E6%A0%A1%E8%88%8E%EF%BC%88%E6%98%8E%E6%B2%BB45%E5%B9%B4%EF%BC%89","画像史料：鈴鹿郡立農学校（古写真）")</f>
        <v>画像史料：鈴鹿郡立農学校（古写真）</v>
      </c>
      <c r="M866" s="142"/>
      <c r="N866" s="12"/>
      <c r="O866" s="12" t="e">
        <v>#VALUE!</v>
      </c>
      <c r="P866" s="13" t="str">
        <f t="shared" si="14"/>
        <v/>
      </c>
      <c r="Q866" s="158"/>
      <c r="R866" s="142" t="s">
        <v>2365</v>
      </c>
    </row>
    <row r="867" spans="1:18" s="139" customFormat="1" ht="30.75" customHeight="1" x14ac:dyDescent="0.15">
      <c r="A867" s="142" t="s">
        <v>2375</v>
      </c>
      <c r="B867" s="142">
        <v>20</v>
      </c>
      <c r="C867" s="143" t="s">
        <v>2432</v>
      </c>
      <c r="D867" s="143">
        <v>1930</v>
      </c>
      <c r="E867" s="144" t="s">
        <v>20</v>
      </c>
      <c r="F867" s="143"/>
      <c r="G867" s="143" t="s">
        <v>2433</v>
      </c>
      <c r="H867" s="142" t="s">
        <v>464</v>
      </c>
      <c r="I867" s="143" t="s">
        <v>2303</v>
      </c>
      <c r="J867" s="142" t="s">
        <v>2434</v>
      </c>
      <c r="K867" s="142"/>
      <c r="L867" s="142"/>
      <c r="M867" s="142"/>
      <c r="N867" s="12"/>
      <c r="O867" s="12" t="e">
        <v>#VALUE!</v>
      </c>
      <c r="P867" s="13" t="str">
        <f t="shared" si="14"/>
        <v/>
      </c>
      <c r="Q867" s="158"/>
      <c r="R867" s="142" t="s">
        <v>2435</v>
      </c>
    </row>
    <row r="868" spans="1:18" s="139" customFormat="1" ht="29.25" customHeight="1" x14ac:dyDescent="0.15">
      <c r="A868" s="142" t="s">
        <v>2375</v>
      </c>
      <c r="B868" s="142">
        <v>20</v>
      </c>
      <c r="C868" s="143" t="s">
        <v>2432</v>
      </c>
      <c r="D868" s="143">
        <v>1930</v>
      </c>
      <c r="E868" s="144" t="s">
        <v>20</v>
      </c>
      <c r="F868" s="143"/>
      <c r="G868" s="143" t="s">
        <v>2436</v>
      </c>
      <c r="H868" s="142" t="s">
        <v>113</v>
      </c>
      <c r="I868" s="143" t="s">
        <v>2437</v>
      </c>
      <c r="J868" s="142" t="s">
        <v>2438</v>
      </c>
      <c r="K868" s="142"/>
      <c r="L868" s="142"/>
      <c r="M868" s="142"/>
      <c r="N868" s="74"/>
      <c r="O868" s="32" t="e">
        <v>#VALUE!</v>
      </c>
      <c r="P868" s="33" t="str">
        <f t="shared" si="14"/>
        <v/>
      </c>
      <c r="Q868" s="71" t="str">
        <f>HYPERLINK("http:/kameyamarekihaku.jp/sisi/RekisiHP/kingendai/quiz/tetudo/tetudo.html","市史近代・現代ページ 鉄道クイズ")</f>
        <v>市史近代・現代ページ 鉄道クイズ</v>
      </c>
      <c r="R868" s="142" t="s">
        <v>2439</v>
      </c>
    </row>
    <row r="869" spans="1:18" s="139" customFormat="1" ht="30" customHeight="1" x14ac:dyDescent="0.15">
      <c r="A869" s="142" t="s">
        <v>2375</v>
      </c>
      <c r="B869" s="142">
        <v>20</v>
      </c>
      <c r="C869" s="143" t="s">
        <v>2432</v>
      </c>
      <c r="D869" s="143">
        <v>1930</v>
      </c>
      <c r="E869" s="144" t="s">
        <v>20</v>
      </c>
      <c r="F869" s="143"/>
      <c r="G869" s="161" t="s">
        <v>2440</v>
      </c>
      <c r="H869" s="142" t="s">
        <v>250</v>
      </c>
      <c r="I869" s="143" t="s">
        <v>2441</v>
      </c>
      <c r="J869" s="142" t="s">
        <v>2442</v>
      </c>
      <c r="K869" s="142"/>
      <c r="L869" s="142"/>
      <c r="M869" s="142"/>
      <c r="N869" s="74" t="s">
        <v>2443</v>
      </c>
      <c r="O869" s="32" t="s">
        <v>2444</v>
      </c>
      <c r="P869" s="33" t="str">
        <f t="shared" si="14"/>
        <v>日本の歴史の中の亀山／近代の亀山／第一次世界大戦と亀山／気象の観測</v>
      </c>
      <c r="Q869" s="71" t="str">
        <f>HYPERLINK("http://kameyamarekihaku.jp/sisi/RekisiHP/kingendai/quiz/tatemono/tatemono.html","市史近代・現代ページ 建物クイズ")</f>
        <v>市史近代・現代ページ 建物クイズ</v>
      </c>
      <c r="R869" s="142" t="s">
        <v>2445</v>
      </c>
    </row>
    <row r="870" spans="1:18" s="139" customFormat="1" ht="28.5" customHeight="1" x14ac:dyDescent="0.15">
      <c r="A870" s="142" t="s">
        <v>2375</v>
      </c>
      <c r="B870" s="142">
        <v>20</v>
      </c>
      <c r="C870" s="143" t="s">
        <v>2432</v>
      </c>
      <c r="D870" s="143">
        <v>1930</v>
      </c>
      <c r="E870" s="144" t="s">
        <v>20</v>
      </c>
      <c r="F870" s="143"/>
      <c r="G870" s="143" t="s">
        <v>2446</v>
      </c>
      <c r="H870" s="142" t="s">
        <v>2131</v>
      </c>
      <c r="I870" s="143" t="s">
        <v>2447</v>
      </c>
      <c r="J870" s="142" t="s">
        <v>2448</v>
      </c>
      <c r="K870" s="142"/>
      <c r="L870" s="142"/>
      <c r="M870" s="142"/>
      <c r="N870" s="23" t="s">
        <v>2449</v>
      </c>
      <c r="O870" s="23" t="s">
        <v>2450</v>
      </c>
      <c r="P870" s="24" t="str">
        <f t="shared" si="14"/>
        <v>学校のあゆみ／加太小学校のれきし</v>
      </c>
      <c r="Q870" s="25" t="str">
        <f>HYPERLINK("http:/kameyamarekihaku.jp/sisi/RekisiHP/kingendai/quiz/school/schoo01l.html","市史近代・現代ページ 学校クイズ")</f>
        <v>市史近代・現代ページ 学校クイズ</v>
      </c>
      <c r="R870" s="142" t="s">
        <v>2451</v>
      </c>
    </row>
    <row r="871" spans="1:18" s="139" customFormat="1" ht="28.5" customHeight="1" x14ac:dyDescent="0.15">
      <c r="A871" s="142" t="s">
        <v>2375</v>
      </c>
      <c r="B871" s="142">
        <v>20</v>
      </c>
      <c r="C871" s="143" t="s">
        <v>2432</v>
      </c>
      <c r="D871" s="143">
        <v>1930</v>
      </c>
      <c r="E871" s="144" t="s">
        <v>34</v>
      </c>
      <c r="F871" s="143"/>
      <c r="G871" s="143" t="s">
        <v>2452</v>
      </c>
      <c r="H871" s="142" t="s">
        <v>2131</v>
      </c>
      <c r="I871" s="143" t="s">
        <v>2447</v>
      </c>
      <c r="J871" s="142" t="s">
        <v>2453</v>
      </c>
      <c r="K871" s="142"/>
      <c r="L871" s="142"/>
      <c r="M871" s="142"/>
      <c r="N871" s="12"/>
      <c r="O871" s="12" t="e">
        <v>#VALUE!</v>
      </c>
      <c r="P871" s="13" t="str">
        <f t="shared" si="14"/>
        <v/>
      </c>
      <c r="Q871" s="158"/>
      <c r="R871" s="142" t="s">
        <v>2371</v>
      </c>
    </row>
    <row r="872" spans="1:18" s="139" customFormat="1" ht="28.5" customHeight="1" x14ac:dyDescent="0.15">
      <c r="A872" s="142" t="s">
        <v>2375</v>
      </c>
      <c r="B872" s="142">
        <v>20</v>
      </c>
      <c r="C872" s="143" t="s">
        <v>2432</v>
      </c>
      <c r="D872" s="143">
        <v>1930</v>
      </c>
      <c r="E872" s="144" t="s">
        <v>34</v>
      </c>
      <c r="F872" s="143"/>
      <c r="G872" s="143" t="s">
        <v>2454</v>
      </c>
      <c r="H872" s="142" t="s">
        <v>2131</v>
      </c>
      <c r="I872" s="143"/>
      <c r="J872" s="142"/>
      <c r="K872" s="142"/>
      <c r="L872" s="142"/>
      <c r="M872" s="142"/>
      <c r="N872" s="12" t="s">
        <v>2455</v>
      </c>
      <c r="O872" s="12" t="s">
        <v>2456</v>
      </c>
      <c r="P872" s="13" t="str">
        <f t="shared" si="14"/>
        <v>日本の歴史の中の亀山／近代の亀山／亀山の近代文化と日常生活／関のお木曳き</v>
      </c>
      <c r="Q872" s="158"/>
      <c r="R872" s="142" t="s">
        <v>2371</v>
      </c>
    </row>
    <row r="873" spans="1:18" s="139" customFormat="1" ht="15" customHeight="1" x14ac:dyDescent="0.15">
      <c r="A873" s="142" t="s">
        <v>2375</v>
      </c>
      <c r="B873" s="142">
        <v>20</v>
      </c>
      <c r="C873" s="143" t="s">
        <v>2432</v>
      </c>
      <c r="D873" s="143">
        <v>1930</v>
      </c>
      <c r="E873" s="144" t="s">
        <v>20</v>
      </c>
      <c r="F873" s="143"/>
      <c r="G873" s="143" t="s">
        <v>2457</v>
      </c>
      <c r="H873" s="142" t="s">
        <v>2131</v>
      </c>
      <c r="I873" s="143" t="s">
        <v>2447</v>
      </c>
      <c r="J873" s="142" t="s">
        <v>2458</v>
      </c>
      <c r="K873" s="142"/>
      <c r="L873" s="142"/>
      <c r="M873" s="142"/>
      <c r="N873" s="12"/>
      <c r="O873" s="12" t="e">
        <v>#VALUE!</v>
      </c>
      <c r="P873" s="13" t="str">
        <f t="shared" si="14"/>
        <v/>
      </c>
      <c r="Q873" s="158"/>
      <c r="R873" s="142" t="s">
        <v>2371</v>
      </c>
    </row>
    <row r="874" spans="1:18" s="139" customFormat="1" ht="25.5" customHeight="1" x14ac:dyDescent="0.15">
      <c r="A874" s="142" t="s">
        <v>2375</v>
      </c>
      <c r="B874" s="142">
        <v>20</v>
      </c>
      <c r="C874" s="143" t="s">
        <v>2432</v>
      </c>
      <c r="D874" s="143">
        <v>1930</v>
      </c>
      <c r="E874" s="144" t="s">
        <v>34</v>
      </c>
      <c r="F874" s="143"/>
      <c r="G874" s="143" t="s">
        <v>2459</v>
      </c>
      <c r="H874" s="142" t="s">
        <v>2131</v>
      </c>
      <c r="I874" s="143" t="s">
        <v>2447</v>
      </c>
      <c r="J874" s="142" t="s">
        <v>2460</v>
      </c>
      <c r="K874" s="142"/>
      <c r="L874" s="142"/>
      <c r="M874" s="142"/>
      <c r="N874" s="12"/>
      <c r="O874" s="12" t="e">
        <v>#VALUE!</v>
      </c>
      <c r="P874" s="13" t="str">
        <f t="shared" si="14"/>
        <v/>
      </c>
      <c r="Q874" s="158"/>
      <c r="R874" s="142" t="s">
        <v>2371</v>
      </c>
    </row>
    <row r="875" spans="1:18" s="139" customFormat="1" ht="28.5" customHeight="1" x14ac:dyDescent="0.15">
      <c r="A875" s="142" t="s">
        <v>2375</v>
      </c>
      <c r="B875" s="142">
        <v>20</v>
      </c>
      <c r="C875" s="143" t="s">
        <v>2432</v>
      </c>
      <c r="D875" s="143">
        <v>1930</v>
      </c>
      <c r="E875" s="144" t="s">
        <v>20</v>
      </c>
      <c r="F875" s="143"/>
      <c r="G875" s="143" t="s">
        <v>2461</v>
      </c>
      <c r="H875" s="142" t="s">
        <v>2131</v>
      </c>
      <c r="I875" s="143"/>
      <c r="J875" s="142"/>
      <c r="K875" s="142"/>
      <c r="L875" s="142"/>
      <c r="M875" s="142"/>
      <c r="N875" s="12"/>
      <c r="O875" s="12" t="e">
        <v>#VALUE!</v>
      </c>
      <c r="P875" s="13" t="str">
        <f t="shared" si="14"/>
        <v/>
      </c>
      <c r="Q875" s="158"/>
      <c r="R875" s="142" t="s">
        <v>2462</v>
      </c>
    </row>
    <row r="876" spans="1:18" s="139" customFormat="1" ht="15" customHeight="1" x14ac:dyDescent="0.15">
      <c r="A876" s="142" t="s">
        <v>2375</v>
      </c>
      <c r="B876" s="142">
        <v>20</v>
      </c>
      <c r="C876" s="143" t="s">
        <v>2432</v>
      </c>
      <c r="D876" s="143">
        <v>1930</v>
      </c>
      <c r="E876" s="144" t="s">
        <v>20</v>
      </c>
      <c r="F876" s="143"/>
      <c r="G876" s="143" t="s">
        <v>2463</v>
      </c>
      <c r="H876" s="142" t="s">
        <v>2131</v>
      </c>
      <c r="I876" s="143"/>
      <c r="J876" s="82" t="str">
        <f>HYPERLINK("http://kameyamarekihaku.jp/sisi/tuusiHP_next/kochuusei/image/06/gi.htm?pf=1187sh102.JPG&amp;?pn=%E9%88%B4%E9%B9%BF%E5%B3%A0%EF%BC%88%E3%83%87%E3%82%B8%E3%82%BF%E3%83%AB%E5%85%B1%E6%9C%89%E5%9C%B0%E5%9B%B3%EF%BC%89%E3%80%80","鈴鹿峠")</f>
        <v>鈴鹿峠</v>
      </c>
      <c r="K876" s="142"/>
      <c r="L876" s="142" t="s">
        <v>2464</v>
      </c>
      <c r="M876" s="142"/>
      <c r="N876" s="12"/>
      <c r="O876" s="12" t="e">
        <v>#VALUE!</v>
      </c>
      <c r="P876" s="13" t="str">
        <f t="shared" si="14"/>
        <v/>
      </c>
      <c r="Q876" s="158"/>
      <c r="R876" s="142" t="s">
        <v>2371</v>
      </c>
    </row>
    <row r="877" spans="1:18" s="139" customFormat="1" ht="69" customHeight="1" x14ac:dyDescent="0.15">
      <c r="A877" s="142" t="s">
        <v>2375</v>
      </c>
      <c r="B877" s="142">
        <v>20</v>
      </c>
      <c r="C877" s="143" t="s">
        <v>2465</v>
      </c>
      <c r="D877" s="143">
        <v>1931</v>
      </c>
      <c r="E877" s="144" t="s">
        <v>59</v>
      </c>
      <c r="F877" s="143" t="s">
        <v>2466</v>
      </c>
      <c r="G877" s="143"/>
      <c r="H877" s="142"/>
      <c r="I877" s="143"/>
      <c r="J877" s="142"/>
      <c r="K877" s="142"/>
      <c r="L877" s="142" t="s">
        <v>2467</v>
      </c>
      <c r="M877" s="142"/>
      <c r="N877" s="12"/>
      <c r="O877" s="12" t="e">
        <v>#VALUE!</v>
      </c>
      <c r="P877" s="13" t="str">
        <f t="shared" si="14"/>
        <v/>
      </c>
      <c r="Q877" s="158"/>
      <c r="R877" s="142"/>
    </row>
    <row r="878" spans="1:18" s="139" customFormat="1" ht="28.5" customHeight="1" x14ac:dyDescent="0.15">
      <c r="A878" s="142" t="s">
        <v>2375</v>
      </c>
      <c r="B878" s="142">
        <v>20</v>
      </c>
      <c r="C878" s="143" t="s">
        <v>2465</v>
      </c>
      <c r="D878" s="143">
        <v>1931</v>
      </c>
      <c r="E878" s="144" t="s">
        <v>20</v>
      </c>
      <c r="F878" s="143"/>
      <c r="G878" s="143" t="s">
        <v>2468</v>
      </c>
      <c r="H878" s="142" t="s">
        <v>250</v>
      </c>
      <c r="I878" s="143" t="s">
        <v>2247</v>
      </c>
      <c r="J878" s="82" t="str">
        <f>HYPERLINK("http://kameyamarekihaku.jp/sisi/tuusiHP_next/kingendai/image/05/gi.htm?pf=3044sh005-03.JPG&amp;?pn=%E4%BA%80%E5%B1%B1%E8%A3%BD%E7%B5%B2%E6%9C%AC%E7%A4%BE%E5%B7%A5%E5%A0%B4%EF%BC%88%E6%98%AD%E5%92%8C10%E5%B9%B4%E4%BB%A3%EF%BC%89","亀山製絲本社工場")</f>
        <v>亀山製絲本社工場</v>
      </c>
      <c r="K878" s="142"/>
      <c r="L878" s="142"/>
      <c r="M878" s="142"/>
      <c r="N878" s="23"/>
      <c r="O878" s="23" t="e">
        <v>#VALUE!</v>
      </c>
      <c r="P878" s="24" t="str">
        <f t="shared" si="14"/>
        <v/>
      </c>
      <c r="Q878" s="25" t="str">
        <f>HYPERLINK("http:/kameyamarekihaku.jp/sisi/tuusiHP_next/tuusi-index.html#kingendai0802","市史通史編 近代・現代第8章第2節")</f>
        <v>市史通史編 近代・現代第8章第2節</v>
      </c>
      <c r="R878" s="142" t="s">
        <v>2469</v>
      </c>
    </row>
    <row r="879" spans="1:18" s="139" customFormat="1" ht="26.25" customHeight="1" x14ac:dyDescent="0.15">
      <c r="A879" s="142" t="s">
        <v>2375</v>
      </c>
      <c r="B879" s="142">
        <v>20</v>
      </c>
      <c r="C879" s="143" t="s">
        <v>2465</v>
      </c>
      <c r="D879" s="143">
        <v>1931</v>
      </c>
      <c r="E879" s="144" t="s">
        <v>34</v>
      </c>
      <c r="F879" s="143"/>
      <c r="G879" s="143" t="s">
        <v>2470</v>
      </c>
      <c r="H879" s="142" t="s">
        <v>250</v>
      </c>
      <c r="I879" s="143" t="s">
        <v>2247</v>
      </c>
      <c r="J879" s="82" t="str">
        <f>HYPERLINK("http://kameyamarekihaku.jp/22theme/zone4-1/gi_auto.html?pf=44L.JPG&amp;?pn=%E9%96%89%E9%A4%A8%E5%89%8D%E3%81%AE%E6%96%B0%E7%94%BA%E5%BA%A7","新町座")</f>
        <v>新町座</v>
      </c>
      <c r="K879" s="142" t="s">
        <v>2471</v>
      </c>
      <c r="L879" s="142" t="s">
        <v>2472</v>
      </c>
      <c r="M879" s="142"/>
      <c r="N879" s="23"/>
      <c r="O879" s="23" t="e">
        <v>#VALUE!</v>
      </c>
      <c r="P879" s="24" t="str">
        <f t="shared" si="14"/>
        <v/>
      </c>
      <c r="Q879" s="25" t="str">
        <f>HYPERLINK("http://kameyamarekihaku.jp/22theme/zone4-1/top.html","過去の常設展示『劇場新町座』")</f>
        <v>過去の常設展示『劇場新町座』</v>
      </c>
      <c r="R879" s="142" t="s">
        <v>2473</v>
      </c>
    </row>
    <row r="880" spans="1:18" s="139" customFormat="1" ht="28.5" customHeight="1" x14ac:dyDescent="0.15">
      <c r="A880" s="142" t="s">
        <v>2375</v>
      </c>
      <c r="B880" s="142">
        <v>20</v>
      </c>
      <c r="C880" s="143" t="s">
        <v>2465</v>
      </c>
      <c r="D880" s="143">
        <v>1931</v>
      </c>
      <c r="E880" s="144" t="s">
        <v>20</v>
      </c>
      <c r="F880" s="143"/>
      <c r="G880" s="143" t="s">
        <v>2474</v>
      </c>
      <c r="H880" s="142" t="s">
        <v>2131</v>
      </c>
      <c r="I880" s="175" t="s">
        <v>2475</v>
      </c>
      <c r="J880" s="142" t="s">
        <v>2476</v>
      </c>
      <c r="K880" s="142"/>
      <c r="L880" s="142"/>
      <c r="M880" s="142"/>
      <c r="N880" s="12"/>
      <c r="O880" s="12" t="e">
        <v>#VALUE!</v>
      </c>
      <c r="P880" s="13" t="str">
        <f t="shared" si="14"/>
        <v/>
      </c>
      <c r="Q880" s="158"/>
      <c r="R880" s="142" t="s">
        <v>2371</v>
      </c>
    </row>
    <row r="881" spans="1:18" s="139" customFormat="1" ht="30.75" customHeight="1" x14ac:dyDescent="0.15">
      <c r="A881" s="145" t="s">
        <v>2375</v>
      </c>
      <c r="B881" s="145">
        <v>20</v>
      </c>
      <c r="C881" s="146" t="s">
        <v>2477</v>
      </c>
      <c r="D881" s="146">
        <v>1932</v>
      </c>
      <c r="E881" s="147" t="s">
        <v>20</v>
      </c>
      <c r="F881" s="146"/>
      <c r="G881" s="148" t="s">
        <v>2478</v>
      </c>
      <c r="H881" s="145"/>
      <c r="I881" s="146"/>
      <c r="J881" s="145" t="s">
        <v>2479</v>
      </c>
      <c r="K881" s="145"/>
      <c r="L881" s="145" t="s">
        <v>2480</v>
      </c>
      <c r="M881" s="145"/>
      <c r="N881" s="34" t="s">
        <v>2481</v>
      </c>
      <c r="O881" s="34" t="s">
        <v>2482</v>
      </c>
      <c r="P881" s="35" t="str">
        <f t="shared" si="14"/>
        <v>日本の歴史の中の亀山／近代の亀山／交通の拡充／省営バスの運行開始</v>
      </c>
      <c r="Q881" s="160"/>
      <c r="R881" s="145" t="s">
        <v>2371</v>
      </c>
    </row>
    <row r="882" spans="1:18" s="139" customFormat="1" ht="30.75" customHeight="1" x14ac:dyDescent="0.15">
      <c r="A882" s="151"/>
      <c r="B882" s="151"/>
      <c r="C882" s="152"/>
      <c r="D882" s="152"/>
      <c r="E882" s="153"/>
      <c r="F882" s="152"/>
      <c r="G882" s="155"/>
      <c r="H882" s="151"/>
      <c r="I882" s="152"/>
      <c r="J882" s="151"/>
      <c r="K882" s="151"/>
      <c r="L882" s="151"/>
      <c r="M882" s="151"/>
      <c r="N882" s="86" t="s">
        <v>2483</v>
      </c>
      <c r="O882" s="86" t="s">
        <v>2484</v>
      </c>
      <c r="P882" s="87" t="str">
        <f t="shared" si="14"/>
        <v>日本の歴史の中の亀山／現代の亀山／交通と通信／バス</v>
      </c>
      <c r="Q882" s="157"/>
      <c r="R882" s="151"/>
    </row>
    <row r="883" spans="1:18" s="139" customFormat="1" ht="28.15" customHeight="1" x14ac:dyDescent="0.15">
      <c r="A883" s="142" t="s">
        <v>2375</v>
      </c>
      <c r="B883" s="142">
        <v>20</v>
      </c>
      <c r="C883" s="143" t="s">
        <v>2477</v>
      </c>
      <c r="D883" s="143">
        <v>1932</v>
      </c>
      <c r="E883" s="144" t="s">
        <v>20</v>
      </c>
      <c r="F883" s="143"/>
      <c r="G883" s="143" t="s">
        <v>2485</v>
      </c>
      <c r="H883" s="120" t="s">
        <v>199</v>
      </c>
      <c r="I883" s="175" t="s">
        <v>2475</v>
      </c>
      <c r="J883" s="142" t="s">
        <v>2486</v>
      </c>
      <c r="K883" s="142"/>
      <c r="L883" s="142"/>
      <c r="M883" s="142"/>
      <c r="N883" s="12"/>
      <c r="O883" s="12" t="e">
        <v>#VALUE!</v>
      </c>
      <c r="P883" s="13" t="str">
        <f t="shared" si="14"/>
        <v/>
      </c>
      <c r="Q883" s="158"/>
      <c r="R883" s="142" t="s">
        <v>2371</v>
      </c>
    </row>
    <row r="884" spans="1:18" s="139" customFormat="1" ht="43.5" customHeight="1" x14ac:dyDescent="0.15">
      <c r="A884" s="142" t="s">
        <v>2375</v>
      </c>
      <c r="B884" s="142">
        <v>20</v>
      </c>
      <c r="C884" s="143" t="s">
        <v>2487</v>
      </c>
      <c r="D884" s="143">
        <v>1932</v>
      </c>
      <c r="E884" s="144" t="s">
        <v>20</v>
      </c>
      <c r="F884" s="143"/>
      <c r="G884" s="143" t="s">
        <v>2488</v>
      </c>
      <c r="H884" s="142" t="s">
        <v>2489</v>
      </c>
      <c r="I884" s="143" t="s">
        <v>2447</v>
      </c>
      <c r="J884" s="142" t="s">
        <v>2490</v>
      </c>
      <c r="K884" s="142"/>
      <c r="L884" s="142"/>
      <c r="M884" s="142"/>
      <c r="N884" s="12"/>
      <c r="O884" s="12" t="e">
        <v>#VALUE!</v>
      </c>
      <c r="P884" s="13" t="str">
        <f t="shared" si="14"/>
        <v/>
      </c>
      <c r="Q884" s="158"/>
      <c r="R884" s="142" t="s">
        <v>2371</v>
      </c>
    </row>
    <row r="885" spans="1:18" s="139" customFormat="1" ht="28.15" customHeight="1" x14ac:dyDescent="0.15">
      <c r="A885" s="142" t="s">
        <v>2375</v>
      </c>
      <c r="B885" s="142">
        <v>20</v>
      </c>
      <c r="C885" s="143" t="s">
        <v>2487</v>
      </c>
      <c r="D885" s="143">
        <v>1932</v>
      </c>
      <c r="E885" s="144" t="s">
        <v>20</v>
      </c>
      <c r="F885" s="143"/>
      <c r="G885" s="161" t="s">
        <v>2491</v>
      </c>
      <c r="H885" s="142"/>
      <c r="I885" s="143"/>
      <c r="J885" s="142" t="s">
        <v>2492</v>
      </c>
      <c r="K885" s="142"/>
      <c r="L885" s="142"/>
      <c r="M885" s="142"/>
      <c r="N885" s="12" t="s">
        <v>2493</v>
      </c>
      <c r="O885" s="12" t="s">
        <v>2484</v>
      </c>
      <c r="P885" s="13" t="str">
        <f t="shared" si="14"/>
        <v>日本の歴史の中の亀山／現代の亀山／交通と通信／バス</v>
      </c>
      <c r="Q885" s="158"/>
      <c r="R885" s="142" t="s">
        <v>2494</v>
      </c>
    </row>
    <row r="886" spans="1:18" s="139" customFormat="1" ht="15" customHeight="1" x14ac:dyDescent="0.15">
      <c r="A886" s="142" t="s">
        <v>2375</v>
      </c>
      <c r="B886" s="142">
        <v>20</v>
      </c>
      <c r="C886" s="143" t="s">
        <v>2487</v>
      </c>
      <c r="D886" s="143">
        <v>1932</v>
      </c>
      <c r="E886" s="144" t="s">
        <v>20</v>
      </c>
      <c r="F886" s="143" t="s">
        <v>2495</v>
      </c>
      <c r="G886" s="143"/>
      <c r="H886" s="142"/>
      <c r="I886" s="143"/>
      <c r="J886" s="142"/>
      <c r="K886" s="142"/>
      <c r="L886" s="142"/>
      <c r="M886" s="142"/>
      <c r="N886" s="12"/>
      <c r="O886" s="12" t="e">
        <v>#VALUE!</v>
      </c>
      <c r="P886" s="13" t="str">
        <f t="shared" si="14"/>
        <v/>
      </c>
      <c r="Q886" s="158"/>
      <c r="R886" s="142"/>
    </row>
    <row r="887" spans="1:18" s="139" customFormat="1" ht="30.75" customHeight="1" x14ac:dyDescent="0.15">
      <c r="A887" s="145" t="s">
        <v>2375</v>
      </c>
      <c r="B887" s="145">
        <v>20</v>
      </c>
      <c r="C887" s="146" t="s">
        <v>2487</v>
      </c>
      <c r="D887" s="146">
        <v>1932</v>
      </c>
      <c r="E887" s="147" t="s">
        <v>34</v>
      </c>
      <c r="F887" s="145"/>
      <c r="G887" s="146" t="s">
        <v>2496</v>
      </c>
      <c r="H887" s="145" t="s">
        <v>464</v>
      </c>
      <c r="I887" s="146" t="s">
        <v>2497</v>
      </c>
      <c r="J887" s="71" t="str">
        <f>HYPERLINK("http://kameyamarekihaku.jp/sisi/koukoHP/archives/kamejyoufurusya/01/01-02/gi.html?pf=KJFRUS0102-02-025.jpg&amp;pn=%E7%9F%B3%E4%BA%95%E5%85%84%E5%BC%9F%E6%95%B5%E8%A8%8E%E7%A2%91%EF%BC%88%E7%A7%BB%E8%A8%AD%E5%89%8D%EF%BC%89","石井兄弟敵討碑(移設前の写真)")</f>
        <v>石井兄弟敵討碑(移設前の写真)</v>
      </c>
      <c r="K887" s="145"/>
      <c r="M887" s="71" t="str">
        <f>HYPERLINK("http://kameyamarekihaku.jp/sisi/MinzokuHP/jirei/bunrui5/data5-1/gi.htm?pf=DSC04043-1.jpg&amp;pn=%E7%9F%B3%E4%BA%95%E5%85%84%E5%BC%9F%E4%BB%87%E8%A8%8E%E3%81%A1%E3%81%AE%E7%A2%91","石井兄弟敵討碑")</f>
        <v>石井兄弟敵討碑</v>
      </c>
      <c r="N887" s="310" t="s">
        <v>2498</v>
      </c>
      <c r="O887" s="310" t="s">
        <v>1514</v>
      </c>
      <c r="P887" s="311" t="str">
        <f t="shared" si="14"/>
        <v>亀山のむかしばなし／亀山にまつわるひとびとの話／石井兄弟のかたきうち</v>
      </c>
      <c r="Q887" s="17" t="str">
        <f>HYPERLINK("http:/kameyamarekihaku.jp/sisi/RekisiHP/kingendai/quiz/meisho.kyuusho/meishou.html","市史近代・現代ページ 遺跡・名勝クイズ")</f>
        <v>市史近代・現代ページ 遺跡・名勝クイズ</v>
      </c>
      <c r="R887" s="347" t="s">
        <v>2499</v>
      </c>
    </row>
    <row r="888" spans="1:18" s="139" customFormat="1" ht="30.75" customHeight="1" x14ac:dyDescent="0.15">
      <c r="A888" s="140"/>
      <c r="B888" s="136"/>
      <c r="C888" s="137"/>
      <c r="D888" s="137"/>
      <c r="E888" s="138"/>
      <c r="F888" s="136"/>
      <c r="G888" s="137"/>
      <c r="H888" s="136"/>
      <c r="I888" s="137"/>
      <c r="J888" s="76"/>
      <c r="K888" s="136"/>
      <c r="L888" s="76"/>
      <c r="N888" s="317"/>
      <c r="O888" s="317" t="e">
        <v>#VALUE!</v>
      </c>
      <c r="P888" s="318" t="str">
        <f t="shared" si="14"/>
        <v/>
      </c>
      <c r="Q888" s="21" t="str">
        <f>HYPERLINK("http://kameyamarekihaku.jp/sisi/MinzokuHP/jirei/bunrui11/data11-2/index11_2_1.htm","市史民俗編／口頭伝承〜石井兄弟の亀山の敵討ち")</f>
        <v>市史民俗編／口頭伝承〜石井兄弟の亀山の敵討ち</v>
      </c>
      <c r="R888" s="332"/>
    </row>
    <row r="889" spans="1:18" s="139" customFormat="1" ht="29.25" customHeight="1" x14ac:dyDescent="0.15">
      <c r="A889" s="136"/>
      <c r="B889" s="136"/>
      <c r="C889" s="137"/>
      <c r="D889" s="137"/>
      <c r="E889" s="138"/>
      <c r="F889" s="136"/>
      <c r="G889" s="137"/>
      <c r="H889" s="136"/>
      <c r="I889" s="137"/>
      <c r="J889" s="76"/>
      <c r="K889" s="136"/>
      <c r="L889" s="76"/>
      <c r="M889" s="208"/>
      <c r="N889" s="19"/>
      <c r="O889" s="19" t="e">
        <v>#VALUE!</v>
      </c>
      <c r="P889" s="20" t="str">
        <f t="shared" si="14"/>
        <v/>
      </c>
      <c r="Q889" s="21" t="str">
        <f>HYPERLINK("http://www.kameyamarekihaku.jp/sisi/seckam3/chizukouko.php","市史考古分野(各コンテンツ)「亀山城下町を歩く」No.33")</f>
        <v>市史考古分野(各コンテンツ)「亀山城下町を歩く」No.33</v>
      </c>
      <c r="R889" s="332"/>
    </row>
    <row r="890" spans="1:18" s="139" customFormat="1" ht="29.25" customHeight="1" x14ac:dyDescent="0.15">
      <c r="A890" s="151"/>
      <c r="B890" s="151"/>
      <c r="C890" s="152"/>
      <c r="D890" s="152"/>
      <c r="E890" s="153"/>
      <c r="F890" s="151"/>
      <c r="G890" s="152"/>
      <c r="H890" s="151"/>
      <c r="I890" s="152"/>
      <c r="J890" s="102"/>
      <c r="K890" s="151"/>
      <c r="L890" s="102"/>
      <c r="M890" s="233"/>
      <c r="N890" s="29"/>
      <c r="O890" s="29" t="e">
        <v>#VALUE!</v>
      </c>
      <c r="P890" s="30" t="str">
        <f t="shared" si="14"/>
        <v/>
      </c>
      <c r="Q890" s="10" t="str">
        <f>HYPERLINK("http://www.kameyamarekihaku.jp/sisi/seckam3/chizushiro.php","市史考古分野(各コンテンツ)「亀山城跡を歩く」")</f>
        <v>市史考古分野(各コンテンツ)「亀山城跡を歩く」</v>
      </c>
      <c r="R890" s="157"/>
    </row>
    <row r="891" spans="1:18" s="139" customFormat="1" ht="28.5" customHeight="1" x14ac:dyDescent="0.15">
      <c r="A891" s="142" t="s">
        <v>2375</v>
      </c>
      <c r="B891" s="142">
        <v>20</v>
      </c>
      <c r="C891" s="143"/>
      <c r="D891" s="143"/>
      <c r="E891" s="144" t="s">
        <v>20</v>
      </c>
      <c r="F891" s="143" t="s">
        <v>2500</v>
      </c>
      <c r="G891" s="143"/>
      <c r="H891" s="142"/>
      <c r="I891" s="143"/>
      <c r="J891" s="142"/>
      <c r="K891" s="142"/>
      <c r="L891" s="142"/>
      <c r="M891" s="142"/>
      <c r="N891" s="12"/>
      <c r="O891" s="12" t="e">
        <v>#VALUE!</v>
      </c>
      <c r="P891" s="13" t="str">
        <f t="shared" si="14"/>
        <v/>
      </c>
      <c r="Q891" s="158"/>
      <c r="R891" s="142"/>
    </row>
    <row r="892" spans="1:18" s="139" customFormat="1" ht="15" customHeight="1" x14ac:dyDescent="0.15">
      <c r="A892" s="142" t="s">
        <v>2375</v>
      </c>
      <c r="B892" s="142">
        <v>20</v>
      </c>
      <c r="C892" s="143" t="s">
        <v>2501</v>
      </c>
      <c r="D892" s="143">
        <v>1933</v>
      </c>
      <c r="E892" s="144" t="s">
        <v>59</v>
      </c>
      <c r="F892" s="143" t="s">
        <v>2502</v>
      </c>
      <c r="G892" s="143"/>
      <c r="H892" s="142"/>
      <c r="I892" s="143"/>
      <c r="J892" s="142"/>
      <c r="K892" s="142"/>
      <c r="L892" s="142"/>
      <c r="M892" s="142"/>
      <c r="N892" s="12"/>
      <c r="O892" s="12" t="e">
        <v>#VALUE!</v>
      </c>
      <c r="P892" s="13" t="str">
        <f t="shared" si="14"/>
        <v/>
      </c>
      <c r="Q892" s="158"/>
      <c r="R892" s="142"/>
    </row>
    <row r="893" spans="1:18" s="139" customFormat="1" ht="15" customHeight="1" x14ac:dyDescent="0.15">
      <c r="A893" s="142" t="s">
        <v>2375</v>
      </c>
      <c r="B893" s="142">
        <v>20</v>
      </c>
      <c r="C893" s="143" t="s">
        <v>2501</v>
      </c>
      <c r="D893" s="143">
        <v>1933</v>
      </c>
      <c r="E893" s="144" t="s">
        <v>20</v>
      </c>
      <c r="F893" s="143"/>
      <c r="G893" s="143" t="s">
        <v>2503</v>
      </c>
      <c r="H893" s="142" t="s">
        <v>305</v>
      </c>
      <c r="I893" s="143" t="s">
        <v>2263</v>
      </c>
      <c r="J893" s="142" t="s">
        <v>2504</v>
      </c>
      <c r="K893" s="142"/>
      <c r="L893" s="142"/>
      <c r="M893" s="142"/>
      <c r="N893" s="12"/>
      <c r="O893" s="12" t="e">
        <v>#VALUE!</v>
      </c>
      <c r="P893" s="13" t="str">
        <f t="shared" si="14"/>
        <v/>
      </c>
      <c r="Q893" s="158"/>
      <c r="R893" s="142" t="s">
        <v>2365</v>
      </c>
    </row>
    <row r="894" spans="1:18" s="139" customFormat="1" ht="15" customHeight="1" x14ac:dyDescent="0.15">
      <c r="A894" s="142" t="s">
        <v>2375</v>
      </c>
      <c r="B894" s="142">
        <v>20</v>
      </c>
      <c r="C894" s="143" t="s">
        <v>2501</v>
      </c>
      <c r="D894" s="143">
        <v>1933</v>
      </c>
      <c r="E894" s="144" t="s">
        <v>20</v>
      </c>
      <c r="F894" s="143"/>
      <c r="G894" s="143" t="s">
        <v>2505</v>
      </c>
      <c r="H894" s="142" t="s">
        <v>515</v>
      </c>
      <c r="I894" s="143" t="s">
        <v>2506</v>
      </c>
      <c r="J894" s="142" t="s">
        <v>2507</v>
      </c>
      <c r="K894" s="142"/>
      <c r="L894" s="142"/>
      <c r="M894" s="142"/>
      <c r="N894" s="12"/>
      <c r="O894" s="12" t="e">
        <v>#VALUE!</v>
      </c>
      <c r="P894" s="13" t="str">
        <f t="shared" si="14"/>
        <v/>
      </c>
      <c r="Q894" s="158"/>
      <c r="R894" s="142" t="s">
        <v>2365</v>
      </c>
    </row>
    <row r="895" spans="1:18" s="139" customFormat="1" ht="15" customHeight="1" x14ac:dyDescent="0.15">
      <c r="A895" s="142" t="s">
        <v>2375</v>
      </c>
      <c r="B895" s="142">
        <v>20</v>
      </c>
      <c r="C895" s="143" t="s">
        <v>2501</v>
      </c>
      <c r="D895" s="143">
        <v>1933</v>
      </c>
      <c r="E895" s="144" t="s">
        <v>20</v>
      </c>
      <c r="F895" s="143"/>
      <c r="G895" s="143" t="s">
        <v>2508</v>
      </c>
      <c r="H895" s="142"/>
      <c r="I895" s="143"/>
      <c r="J895" s="142" t="s">
        <v>2509</v>
      </c>
      <c r="K895" s="142"/>
      <c r="L895" s="142"/>
      <c r="M895" s="142"/>
      <c r="N895" s="12"/>
      <c r="O895" s="12" t="e">
        <v>#VALUE!</v>
      </c>
      <c r="P895" s="13" t="str">
        <f t="shared" si="14"/>
        <v/>
      </c>
      <c r="Q895" s="158"/>
      <c r="R895" s="142" t="s">
        <v>2371</v>
      </c>
    </row>
    <row r="896" spans="1:18" s="139" customFormat="1" ht="33" customHeight="1" x14ac:dyDescent="0.15">
      <c r="A896" s="145" t="s">
        <v>2375</v>
      </c>
      <c r="B896" s="145">
        <v>20</v>
      </c>
      <c r="C896" s="146" t="s">
        <v>2510</v>
      </c>
      <c r="D896" s="146">
        <v>1934</v>
      </c>
      <c r="E896" s="147" t="s">
        <v>34</v>
      </c>
      <c r="F896" s="146"/>
      <c r="G896" s="146" t="s">
        <v>2511</v>
      </c>
      <c r="H896" s="145" t="s">
        <v>2512</v>
      </c>
      <c r="I896" s="146" t="s">
        <v>1665</v>
      </c>
      <c r="J896" s="71" t="str">
        <f>HYPERLINK("http://kameyamarekihaku.jp/sisi/MinzokuHP/jirei/bunrui5/data5-1/gi.htm?pf=DSC04050.jpg&amp;pn=%E9%87%8E%E6%9D%91%E3%81%AE%E4%B8%80%E9%87%8C%E5%A1%9A%EF%BC%88%E9%87%8E%E6%9D%91%E7%94%BA%EF%BC%89","野村一里塚")</f>
        <v>野村一里塚</v>
      </c>
      <c r="K896" s="145"/>
      <c r="L896" s="71" t="str">
        <f>HYPERLINK("http://kameyamarekihaku.jp/sisi/tuusiHP_next/kingendai/image/09/gi.htm?pf=3090sh009-05.JPG&amp;?pn=%E5%BE%80%E6%99%82%E3%81%AE%E9%87%8E%E6%9D%91%E4%B8%80%E9%87%8C%E5%A1%9A","画像史料：往時の野村一里塚（古写真）")</f>
        <v>画像史料：往時の野村一里塚（古写真）</v>
      </c>
      <c r="M896" s="71" t="str">
        <f>HYPERLINK("http://kameyamarekihaku.jp/sisi/MinzokuHP/jirei/bunrui5/data5-1/gi.htm?pf=DSC04050.jpg&amp;pn=%E9%87%8E%E6%9D%91%E3%81%AE%E4%B8%80%E9%87%8C%E5%A1%9A%EF%BC%88%E9%87%8E%E6%9D%91%E7%94%BA%EF%BC%89","野村一里塚")</f>
        <v>野村一里塚</v>
      </c>
      <c r="N896" s="32" t="s">
        <v>2513</v>
      </c>
      <c r="O896" s="32" t="s">
        <v>1135</v>
      </c>
      <c r="P896" s="33" t="str">
        <f t="shared" si="14"/>
        <v>むかしの道と交通／亀山の近世の道／一里塚</v>
      </c>
      <c r="Q896" s="48" t="str">
        <f>HYPERLINK("http:/kameyamarekihaku.jp/sisi/tuusiHP_next/tuusi-index.html#kingendai0904","市史通史編 近代・現代第9章第4節")</f>
        <v>市史通史編 近代・現代第9章第4節</v>
      </c>
      <c r="R896" s="145" t="s">
        <v>2514</v>
      </c>
    </row>
    <row r="897" spans="1:18" s="139" customFormat="1" ht="43.5" customHeight="1" x14ac:dyDescent="0.15">
      <c r="A897" s="151"/>
      <c r="B897" s="151"/>
      <c r="C897" s="152"/>
      <c r="D897" s="152"/>
      <c r="E897" s="153"/>
      <c r="F897" s="152"/>
      <c r="G897" s="152"/>
      <c r="H897" s="151"/>
      <c r="I897" s="152"/>
      <c r="J897" s="102"/>
      <c r="K897" s="151"/>
      <c r="L897" s="102"/>
      <c r="M897" s="102"/>
      <c r="N897" s="29" t="s">
        <v>2515</v>
      </c>
      <c r="O897" s="29" t="s">
        <v>1124</v>
      </c>
      <c r="P897" s="30" t="str">
        <f t="shared" si="14"/>
        <v>亀山のいいとこさがし／景色のよいところや歴史を知る手掛かりとなるもの／歴史上の場所／野村一里塚</v>
      </c>
      <c r="Q897" s="46"/>
      <c r="R897" s="151"/>
    </row>
    <row r="898" spans="1:18" s="139" customFormat="1" ht="28.5" customHeight="1" x14ac:dyDescent="0.15">
      <c r="A898" s="142" t="s">
        <v>2375</v>
      </c>
      <c r="B898" s="142">
        <v>20</v>
      </c>
      <c r="C898" s="143" t="s">
        <v>2510</v>
      </c>
      <c r="D898" s="143">
        <v>1934</v>
      </c>
      <c r="E898" s="144" t="s">
        <v>20</v>
      </c>
      <c r="F898" s="143" t="s">
        <v>2516</v>
      </c>
      <c r="G898" s="143" t="s">
        <v>2517</v>
      </c>
      <c r="H898" s="142"/>
      <c r="I898" s="143"/>
      <c r="J898" s="142"/>
      <c r="K898" s="142"/>
      <c r="L898" s="142"/>
      <c r="M898" s="142"/>
      <c r="N898" s="23"/>
      <c r="O898" s="23" t="e">
        <v>#VALUE!</v>
      </c>
      <c r="P898" s="24" t="str">
        <f t="shared" si="14"/>
        <v/>
      </c>
      <c r="Q898" s="25" t="str">
        <f>HYPERLINK("http://kameyamarekihaku.jp/sisi/RekisiHP/kingendai/saigai/saigai-showa/saigai-showa-06.html","市史近代・現代ページ　亀山の災害")</f>
        <v>市史近代・現代ページ　亀山の災害</v>
      </c>
      <c r="R898" s="142" t="s">
        <v>2518</v>
      </c>
    </row>
    <row r="899" spans="1:18" s="139" customFormat="1" ht="58.7" customHeight="1" x14ac:dyDescent="0.15">
      <c r="A899" s="142" t="s">
        <v>2375</v>
      </c>
      <c r="B899" s="142">
        <v>20</v>
      </c>
      <c r="C899" s="143" t="s">
        <v>2510</v>
      </c>
      <c r="D899" s="143">
        <v>1934</v>
      </c>
      <c r="E899" s="144" t="s">
        <v>20</v>
      </c>
      <c r="F899" s="143"/>
      <c r="G899" s="143" t="s">
        <v>2519</v>
      </c>
      <c r="H899" s="142" t="s">
        <v>1336</v>
      </c>
      <c r="I899" s="143" t="s">
        <v>2393</v>
      </c>
      <c r="J899" s="142" t="s">
        <v>2520</v>
      </c>
      <c r="K899" s="142"/>
      <c r="L899" s="142"/>
      <c r="M899" s="142"/>
      <c r="N899" s="74" t="s">
        <v>2521</v>
      </c>
      <c r="O899" s="32" t="s">
        <v>2356</v>
      </c>
      <c r="P899" s="33" t="str">
        <f t="shared" si="14"/>
        <v>日本の歴史の中の亀山／現代の亀山／交通と通信／電話（電報電話局）</v>
      </c>
      <c r="Q899" s="71" t="str">
        <f>HYPERLINK("http://kameyamarekihaku.jp/sisi/RekisiHP/kingendai/quiz/tatemono/tatemono.html","市史近代・現代ページ 建物クイズ")</f>
        <v>市史近代・現代ページ 建物クイズ</v>
      </c>
      <c r="R899" s="142" t="s">
        <v>2371</v>
      </c>
    </row>
    <row r="900" spans="1:18" s="139" customFormat="1" ht="44.25" customHeight="1" x14ac:dyDescent="0.15">
      <c r="A900" s="142" t="s">
        <v>2375</v>
      </c>
      <c r="B900" s="142">
        <v>20</v>
      </c>
      <c r="C900" s="143" t="s">
        <v>2522</v>
      </c>
      <c r="D900" s="143">
        <v>1934</v>
      </c>
      <c r="E900" s="144" t="s">
        <v>34</v>
      </c>
      <c r="F900" s="143"/>
      <c r="G900" s="143" t="s">
        <v>2523</v>
      </c>
      <c r="H900" s="142" t="s">
        <v>2396</v>
      </c>
      <c r="I900" s="143" t="s">
        <v>2524</v>
      </c>
      <c r="J900" s="142" t="s">
        <v>2525</v>
      </c>
      <c r="K900" s="142"/>
      <c r="L900" s="142"/>
      <c r="M900" s="142" t="s">
        <v>2525</v>
      </c>
      <c r="N900" s="12" t="s">
        <v>2526</v>
      </c>
      <c r="O900" s="12" t="s">
        <v>2527</v>
      </c>
      <c r="P900" s="13" t="str">
        <f t="shared" si="14"/>
        <v>亀山のいいとこさがし／景色のよいところや歴史を知る手掛かりとなるもの／町の風景／忠魂碑</v>
      </c>
      <c r="Q900" s="158"/>
      <c r="R900" s="142" t="s">
        <v>2371</v>
      </c>
    </row>
    <row r="901" spans="1:18" s="139" customFormat="1" ht="43.5" customHeight="1" x14ac:dyDescent="0.15">
      <c r="A901" s="142" t="s">
        <v>2375</v>
      </c>
      <c r="B901" s="142">
        <v>20</v>
      </c>
      <c r="C901" s="143" t="s">
        <v>2528</v>
      </c>
      <c r="D901" s="143">
        <v>1935</v>
      </c>
      <c r="E901" s="144" t="s">
        <v>20</v>
      </c>
      <c r="F901" s="143"/>
      <c r="G901" s="143" t="s">
        <v>2529</v>
      </c>
      <c r="H901" s="142" t="s">
        <v>464</v>
      </c>
      <c r="I901" s="143" t="s">
        <v>2303</v>
      </c>
      <c r="J901" s="142" t="s">
        <v>2530</v>
      </c>
      <c r="K901" s="142"/>
      <c r="L901" s="142" t="s">
        <v>2531</v>
      </c>
      <c r="M901" s="142"/>
      <c r="N901" s="12"/>
      <c r="O901" s="12" t="e">
        <v>#VALUE!</v>
      </c>
      <c r="P901" s="13" t="str">
        <f t="shared" ref="P901:P964" si="15">IFERROR(HYPERLINK(O901,N901),"")</f>
        <v/>
      </c>
      <c r="Q901" s="158"/>
      <c r="R901" s="142" t="s">
        <v>2532</v>
      </c>
    </row>
    <row r="902" spans="1:18" s="139" customFormat="1" ht="35.25" customHeight="1" x14ac:dyDescent="0.15">
      <c r="A902" s="142" t="s">
        <v>2375</v>
      </c>
      <c r="B902" s="142">
        <v>20</v>
      </c>
      <c r="C902" s="143" t="s">
        <v>2533</v>
      </c>
      <c r="D902" s="143">
        <v>1935</v>
      </c>
      <c r="E902" s="144" t="s">
        <v>20</v>
      </c>
      <c r="F902" s="143"/>
      <c r="G902" s="143" t="s">
        <v>2534</v>
      </c>
      <c r="H902" s="142" t="s">
        <v>464</v>
      </c>
      <c r="I902" s="143" t="s">
        <v>2295</v>
      </c>
      <c r="J902" s="142" t="s">
        <v>2535</v>
      </c>
      <c r="K902" s="142"/>
      <c r="L902" s="142"/>
      <c r="M902" s="142"/>
      <c r="N902" s="12" t="s">
        <v>2536</v>
      </c>
      <c r="O902" s="12" t="s">
        <v>2370</v>
      </c>
      <c r="P902" s="13" t="str">
        <f t="shared" si="15"/>
        <v>日本の歴史の中の亀山／近代の亀山／亀山の近代文化と日常生活／劇場</v>
      </c>
      <c r="Q902" s="158"/>
      <c r="R902" s="142" t="s">
        <v>2537</v>
      </c>
    </row>
    <row r="903" spans="1:18" s="139" customFormat="1" ht="28.5" customHeight="1" x14ac:dyDescent="0.15">
      <c r="A903" s="142" t="s">
        <v>2375</v>
      </c>
      <c r="B903" s="142">
        <v>20</v>
      </c>
      <c r="C903" s="143" t="s">
        <v>2528</v>
      </c>
      <c r="D903" s="143">
        <v>1935</v>
      </c>
      <c r="E903" s="144" t="s">
        <v>20</v>
      </c>
      <c r="F903" s="143"/>
      <c r="G903" s="143" t="s">
        <v>2538</v>
      </c>
      <c r="H903" s="142" t="s">
        <v>2396</v>
      </c>
      <c r="I903" s="175" t="s">
        <v>2367</v>
      </c>
      <c r="J903" s="142" t="s">
        <v>2539</v>
      </c>
      <c r="K903" s="142"/>
      <c r="L903" s="142"/>
      <c r="M903" s="142"/>
      <c r="N903" s="12"/>
      <c r="O903" s="12" t="e">
        <v>#VALUE!</v>
      </c>
      <c r="P903" s="13" t="str">
        <f t="shared" si="15"/>
        <v/>
      </c>
      <c r="Q903" s="158"/>
      <c r="R903" s="142" t="s">
        <v>2371</v>
      </c>
    </row>
    <row r="904" spans="1:18" s="139" customFormat="1" ht="15" customHeight="1" x14ac:dyDescent="0.15">
      <c r="A904" s="142" t="s">
        <v>2375</v>
      </c>
      <c r="B904" s="142">
        <v>20</v>
      </c>
      <c r="C904" s="143" t="s">
        <v>2528</v>
      </c>
      <c r="D904" s="143">
        <v>1935</v>
      </c>
      <c r="E904" s="144" t="s">
        <v>20</v>
      </c>
      <c r="F904" s="143"/>
      <c r="G904" s="143" t="s">
        <v>2540</v>
      </c>
      <c r="H904" s="142" t="s">
        <v>1337</v>
      </c>
      <c r="I904" s="175" t="s">
        <v>2393</v>
      </c>
      <c r="J904" s="142" t="s">
        <v>2541</v>
      </c>
      <c r="K904" s="142"/>
      <c r="L904" s="142"/>
      <c r="M904" s="142"/>
      <c r="N904" s="12"/>
      <c r="O904" s="12" t="e">
        <v>#VALUE!</v>
      </c>
      <c r="P904" s="13" t="str">
        <f t="shared" si="15"/>
        <v/>
      </c>
      <c r="Q904" s="158"/>
      <c r="R904" s="142" t="s">
        <v>2371</v>
      </c>
    </row>
    <row r="905" spans="1:18" s="139" customFormat="1" ht="15" customHeight="1" x14ac:dyDescent="0.15">
      <c r="A905" s="142" t="s">
        <v>2375</v>
      </c>
      <c r="B905" s="142">
        <v>20</v>
      </c>
      <c r="C905" s="143" t="s">
        <v>2528</v>
      </c>
      <c r="D905" s="143">
        <v>1935</v>
      </c>
      <c r="E905" s="144" t="s">
        <v>20</v>
      </c>
      <c r="F905" s="143"/>
      <c r="G905" s="143" t="s">
        <v>2542</v>
      </c>
      <c r="H905" s="142" t="s">
        <v>2543</v>
      </c>
      <c r="I905" s="175" t="s">
        <v>2544</v>
      </c>
      <c r="J905" s="142" t="s">
        <v>2545</v>
      </c>
      <c r="K905" s="142"/>
      <c r="L905" s="142"/>
      <c r="M905" s="142"/>
      <c r="N905" s="12"/>
      <c r="O905" s="12" t="e">
        <v>#VALUE!</v>
      </c>
      <c r="P905" s="13" t="str">
        <f t="shared" si="15"/>
        <v/>
      </c>
      <c r="Q905" s="158"/>
      <c r="R905" s="142" t="s">
        <v>2371</v>
      </c>
    </row>
    <row r="906" spans="1:18" s="139" customFormat="1" ht="28.5" customHeight="1" x14ac:dyDescent="0.15">
      <c r="A906" s="142" t="s">
        <v>2375</v>
      </c>
      <c r="B906" s="142">
        <v>20</v>
      </c>
      <c r="C906" s="143" t="s">
        <v>2528</v>
      </c>
      <c r="D906" s="143">
        <v>1935</v>
      </c>
      <c r="E906" s="144" t="s">
        <v>20</v>
      </c>
      <c r="F906" s="143"/>
      <c r="G906" s="143" t="s">
        <v>2546</v>
      </c>
      <c r="H906" s="142" t="s">
        <v>199</v>
      </c>
      <c r="I906" s="175" t="s">
        <v>2367</v>
      </c>
      <c r="J906" s="142" t="s">
        <v>2547</v>
      </c>
      <c r="K906" s="142"/>
      <c r="L906" s="142"/>
      <c r="M906" s="142"/>
      <c r="N906" s="12"/>
      <c r="O906" s="12" t="e">
        <v>#VALUE!</v>
      </c>
      <c r="P906" s="13" t="str">
        <f t="shared" si="15"/>
        <v/>
      </c>
      <c r="Q906" s="158"/>
      <c r="R906" s="142" t="s">
        <v>2371</v>
      </c>
    </row>
    <row r="907" spans="1:18" s="139" customFormat="1" ht="30.75" customHeight="1" x14ac:dyDescent="0.15">
      <c r="A907" s="142" t="s">
        <v>2375</v>
      </c>
      <c r="B907" s="142">
        <v>20</v>
      </c>
      <c r="C907" s="143" t="s">
        <v>2548</v>
      </c>
      <c r="D907" s="143">
        <v>1935</v>
      </c>
      <c r="E907" s="144" t="s">
        <v>20</v>
      </c>
      <c r="F907" s="143"/>
      <c r="G907" s="143" t="s">
        <v>2549</v>
      </c>
      <c r="H907" s="142" t="s">
        <v>199</v>
      </c>
      <c r="I907" s="143"/>
      <c r="J907" s="142" t="s">
        <v>2550</v>
      </c>
      <c r="K907" s="142"/>
      <c r="L907" s="142"/>
      <c r="M907" s="142"/>
      <c r="N907" s="12" t="s">
        <v>2551</v>
      </c>
      <c r="O907" s="12" t="s">
        <v>2552</v>
      </c>
      <c r="P907" s="13" t="str">
        <f t="shared" si="15"/>
        <v>日本の歴史の中の亀山／近代の亀山／第２次世界大戦と亀山／戦時下のくらし</v>
      </c>
      <c r="Q907" s="158"/>
      <c r="R907" s="142" t="s">
        <v>2371</v>
      </c>
    </row>
    <row r="908" spans="1:18" s="139" customFormat="1" ht="15" customHeight="1" x14ac:dyDescent="0.15">
      <c r="A908" s="142" t="s">
        <v>2375</v>
      </c>
      <c r="B908" s="142">
        <v>20</v>
      </c>
      <c r="C908" s="143" t="s">
        <v>2553</v>
      </c>
      <c r="D908" s="143">
        <v>1936</v>
      </c>
      <c r="E908" s="144" t="s">
        <v>20</v>
      </c>
      <c r="F908" s="143" t="s">
        <v>2554</v>
      </c>
      <c r="G908" s="143"/>
      <c r="H908" s="142"/>
      <c r="I908" s="143"/>
      <c r="J908" s="142"/>
      <c r="K908" s="142"/>
      <c r="L908" s="142"/>
      <c r="M908" s="142"/>
      <c r="N908" s="12"/>
      <c r="O908" s="12" t="e">
        <v>#VALUE!</v>
      </c>
      <c r="P908" s="13" t="str">
        <f t="shared" si="15"/>
        <v/>
      </c>
      <c r="Q908" s="158"/>
      <c r="R908" s="142"/>
    </row>
    <row r="909" spans="1:18" s="6" customFormat="1" ht="28.5" customHeight="1" x14ac:dyDescent="0.15">
      <c r="A909" s="120" t="s">
        <v>2375</v>
      </c>
      <c r="B909" s="120">
        <v>20</v>
      </c>
      <c r="C909" s="175" t="s">
        <v>2553</v>
      </c>
      <c r="D909" s="175">
        <v>1936</v>
      </c>
      <c r="E909" s="144" t="s">
        <v>34</v>
      </c>
      <c r="F909" s="175"/>
      <c r="G909" s="175" t="s">
        <v>2555</v>
      </c>
      <c r="H909" s="120" t="s">
        <v>199</v>
      </c>
      <c r="I909" s="175" t="s">
        <v>2556</v>
      </c>
      <c r="J909" s="22" t="str">
        <f>HYPERLINK("http://kameyamarekihaku.jp/sisi/tuusiHP_next/kochuusei/image/10/gi.htm?pf=1300sh182.JPG&amp;?pn=%E9%96%A5%20%E9%8F%A1%E5%B2%A9%E3%80%81%E3%81%BE%E3%81%9F%E3%81%AE%E5%90%8D%E3%82%92%E7%AB%8B%E7%83%8F%E5%B8%BD%E5%AD%90%E9%96%A2%E7%94%BA%E4%B9%85%E6%88%91","鏡岩")</f>
        <v>鏡岩</v>
      </c>
      <c r="L909" s="120"/>
      <c r="M909" s="22" t="str">
        <f>HYPERLINK("http://kameyamarekihaku.jp/sisi/tuusiHP_next/kochuusei/image/05/gi.htm?pf=1178sh097.JPG&amp;?pn=%20%E9%8F%A1%E5%B2%A9%EF%BC%88%E9%96%A2%E7%94%BA%E5%9D%82%E4%B8%8B%EF%BC%89","鏡岩(標柱)")</f>
        <v>鏡岩(標柱)</v>
      </c>
      <c r="N909" s="23" t="s">
        <v>2557</v>
      </c>
      <c r="O909" s="23" t="s">
        <v>2558</v>
      </c>
      <c r="P909" s="24" t="str">
        <f t="shared" si="15"/>
        <v>亀山のいいとこさがし／景色のよいところや歴史を知る手掛かりとなるもの／鉱物</v>
      </c>
      <c r="Q909" s="47" t="str">
        <f>HYPERLINK("http:/kameyamarekihaku.jp/sisi/tuusiHP_next/tuusi-index.html#kingendai0904","市史通史編 近代・現代第9章第4節")</f>
        <v>市史通史編 近代・現代第9章第4節</v>
      </c>
      <c r="R909" s="142" t="s">
        <v>2559</v>
      </c>
    </row>
    <row r="910" spans="1:18" s="6" customFormat="1" ht="43.5" customHeight="1" x14ac:dyDescent="0.15">
      <c r="A910" s="120" t="s">
        <v>2375</v>
      </c>
      <c r="B910" s="120">
        <v>20</v>
      </c>
      <c r="C910" s="175" t="s">
        <v>2553</v>
      </c>
      <c r="D910" s="175">
        <v>1936</v>
      </c>
      <c r="E910" s="144" t="s">
        <v>20</v>
      </c>
      <c r="F910" s="175"/>
      <c r="G910" s="175" t="s">
        <v>2560</v>
      </c>
      <c r="H910" s="120" t="s">
        <v>2561</v>
      </c>
      <c r="I910" s="175" t="s">
        <v>2393</v>
      </c>
      <c r="J910" s="120" t="s">
        <v>2562</v>
      </c>
      <c r="K910" s="120"/>
      <c r="L910" s="120"/>
      <c r="M910" s="120"/>
      <c r="N910" s="12"/>
      <c r="O910" s="12" t="e">
        <v>#VALUE!</v>
      </c>
      <c r="P910" s="13" t="str">
        <f t="shared" si="15"/>
        <v/>
      </c>
      <c r="Q910" s="192"/>
      <c r="R910" s="142" t="s">
        <v>2371</v>
      </c>
    </row>
    <row r="911" spans="1:18" s="6" customFormat="1" ht="46.5" customHeight="1" x14ac:dyDescent="0.15">
      <c r="A911" s="120" t="s">
        <v>2375</v>
      </c>
      <c r="B911" s="120">
        <v>20</v>
      </c>
      <c r="C911" s="175" t="s">
        <v>2563</v>
      </c>
      <c r="D911" s="175">
        <v>1937</v>
      </c>
      <c r="E911" s="144" t="s">
        <v>34</v>
      </c>
      <c r="F911" s="175"/>
      <c r="G911" s="175" t="s">
        <v>2564</v>
      </c>
      <c r="H911" s="120" t="s">
        <v>2512</v>
      </c>
      <c r="I911" s="175" t="s">
        <v>1665</v>
      </c>
      <c r="J911" s="82" t="str">
        <f>HYPERLINK("http://kameyamarekihaku.jp/sisi/tuusiHP_next/kochuusei/image/08/gi.htm?pf=1242sh140.JPG&amp;?pn=%20%E7%8F%BE%E5%9C%A8%E3%81%AE%E6%85%88%E6%81%A9%E5%AF%BA%EF%BC%88%E9%87%8E%E6%9D%91%E7%94%BA%EF%BC%89","慈恩寺")</f>
        <v>慈恩寺</v>
      </c>
      <c r="K911" s="120"/>
      <c r="L911" s="120"/>
      <c r="M911" s="18" t="str">
        <f>HYPERLINK("http://kameyamarekihaku.jp/sisi/tuusiHP_next/kingendai/image/09/gi.htm?pf=3091sh009-06.JPG&amp;?pn=%20%E4%BF%AE%E7%90%86%E5%89%8D%E3%81%AE%E6%85%88%E6%81%A9%E5%AF%BA%E9%98%BF%E5%BC%A5%E9%99%80%E5%A6%82%E6%9D%A5%E7%AB%8B%E5%83%8F","修理前の慈恩寺阿弥陀如来立像")</f>
        <v>修理前の慈恩寺阿弥陀如来立像</v>
      </c>
      <c r="N911" s="23" t="s">
        <v>2565</v>
      </c>
      <c r="O911" s="23" t="s">
        <v>399</v>
      </c>
      <c r="P911" s="24" t="str">
        <f t="shared" si="15"/>
        <v>亀山のいいとこさがし／仏像</v>
      </c>
      <c r="Q911" s="47" t="str">
        <f>HYPERLINK("http:/kameyamarekihaku.jp/sisi/tuusiHP_next/tuusi-index.html#kingendai0904","市史通史編 近代・現代第9章第4節")</f>
        <v>市史通史編 近代・現代第9章第4節</v>
      </c>
      <c r="R911" s="142" t="s">
        <v>2566</v>
      </c>
    </row>
    <row r="912" spans="1:18" s="6" customFormat="1" ht="13.5" customHeight="1" x14ac:dyDescent="0.15">
      <c r="A912" s="88" t="s">
        <v>2375</v>
      </c>
      <c r="B912" s="145">
        <v>20</v>
      </c>
      <c r="C912" s="163" t="s">
        <v>2567</v>
      </c>
      <c r="D912" s="163">
        <v>1937</v>
      </c>
      <c r="E912" s="147" t="s">
        <v>34</v>
      </c>
      <c r="F912" s="163"/>
      <c r="G912" s="349" t="s">
        <v>2568</v>
      </c>
      <c r="H912" s="88" t="s">
        <v>2512</v>
      </c>
      <c r="I912" s="163" t="s">
        <v>2569</v>
      </c>
      <c r="J912" s="16" t="str">
        <f>HYPERLINK("http://kameyamarekihaku.jp/sisi/koukoHP/archives/kamejyougennjyo/01/01-01/gi.html?pf=KJGNJY0101-01-088.JPG&amp;pn=%E5%AE%97%E8%8B%B1%E5%AF%BA%E3%81%A8%E3%82%A4%E3%83%81%E3%83%A7%E3%82%A6","宗英寺")</f>
        <v>宗英寺</v>
      </c>
      <c r="K912" s="88"/>
      <c r="L912" s="88"/>
      <c r="M912" s="16" t="str">
        <f>HYPERLINK("http://kameyamarekihaku.jp/sisi/koukoHP/archives/kamejyougennjyo/01/01-01/gi.html?pf=KJGNJY0101-01-087.JPG&amp;pn=%E5%AE%97%E8%8B%B1%E5%AF%BA%E3%81%AE%E3%82%A4%E3%83%81%E3%83%A7%E3%82%A6","宗英寺のイチョウ")</f>
        <v>宗英寺のイチョウ</v>
      </c>
      <c r="N912" s="310" t="s">
        <v>2570</v>
      </c>
      <c r="O912" s="310" t="s">
        <v>2571</v>
      </c>
      <c r="P912" s="311" t="str">
        <f t="shared" si="15"/>
        <v>亀山のいいとこさがし／動物や植物／植物</v>
      </c>
      <c r="Q912" s="48" t="str">
        <f>HYPERLINK("http:/kameyamarekihaku.jp/sisi/tuusiHP_next/tuusi-index.html#kingendai0904","市史通史編 近代・現代第9章第4節")</f>
        <v>市史通史編 近代・現代第9章第4節</v>
      </c>
      <c r="R912" s="145" t="s">
        <v>2572</v>
      </c>
    </row>
    <row r="913" spans="1:18" s="6" customFormat="1" ht="36.75" customHeight="1" x14ac:dyDescent="0.15">
      <c r="A913" s="91"/>
      <c r="B913" s="151"/>
      <c r="C913" s="169"/>
      <c r="D913" s="169"/>
      <c r="E913" s="153"/>
      <c r="F913" s="169"/>
      <c r="G913" s="374"/>
      <c r="H913" s="91"/>
      <c r="I913" s="169"/>
      <c r="J913" s="18"/>
      <c r="K913" s="91"/>
      <c r="L913" s="91"/>
      <c r="M913" s="18"/>
      <c r="N913" s="306"/>
      <c r="O913" s="306" t="e">
        <v>#VALUE!</v>
      </c>
      <c r="P913" s="308" t="str">
        <f t="shared" si="15"/>
        <v/>
      </c>
      <c r="Q913" s="46" t="str">
        <f>HYPERLINK("http://www.kameyamarekihaku.jp/sisi/seckam3/chizukouko.php","市史考古分野(各コンテンツ)「亀山城下町を歩く」")</f>
        <v>市史考古分野(各コンテンツ)「亀山城下町を歩く」</v>
      </c>
      <c r="R913" s="151"/>
    </row>
    <row r="914" spans="1:18" s="6" customFormat="1" ht="85.7" customHeight="1" x14ac:dyDescent="0.15">
      <c r="A914" s="120" t="s">
        <v>2375</v>
      </c>
      <c r="B914" s="120">
        <v>20</v>
      </c>
      <c r="C914" s="175" t="s">
        <v>2563</v>
      </c>
      <c r="D914" s="175">
        <v>1937</v>
      </c>
      <c r="E914" s="180" t="s">
        <v>59</v>
      </c>
      <c r="F914" s="175" t="s">
        <v>2573</v>
      </c>
      <c r="G914" s="175"/>
      <c r="H914" s="120"/>
      <c r="I914" s="175"/>
      <c r="J914" s="120"/>
      <c r="K914" s="120"/>
      <c r="L914" s="120" t="s">
        <v>2574</v>
      </c>
      <c r="M914" s="120"/>
      <c r="N914" s="12"/>
      <c r="O914" s="12" t="e">
        <v>#VALUE!</v>
      </c>
      <c r="P914" s="13" t="str">
        <f t="shared" si="15"/>
        <v/>
      </c>
      <c r="Q914" s="192"/>
      <c r="R914" s="120"/>
    </row>
    <row r="915" spans="1:18" s="139" customFormat="1" ht="28.5" customHeight="1" x14ac:dyDescent="0.15">
      <c r="A915" s="142" t="s">
        <v>2375</v>
      </c>
      <c r="B915" s="142">
        <v>20</v>
      </c>
      <c r="C915" s="143" t="s">
        <v>2563</v>
      </c>
      <c r="D915" s="143">
        <v>1937</v>
      </c>
      <c r="E915" s="144" t="s">
        <v>20</v>
      </c>
      <c r="F915" s="143"/>
      <c r="G915" s="143" t="s">
        <v>2575</v>
      </c>
      <c r="H915" s="142" t="s">
        <v>464</v>
      </c>
      <c r="I915" s="143" t="s">
        <v>2576</v>
      </c>
      <c r="J915" s="142" t="s">
        <v>2577</v>
      </c>
      <c r="K915" s="142"/>
      <c r="L915" s="142"/>
      <c r="M915" s="142"/>
      <c r="N915" s="23"/>
      <c r="O915" s="23" t="e">
        <v>#VALUE!</v>
      </c>
      <c r="P915" s="24" t="str">
        <f t="shared" si="15"/>
        <v/>
      </c>
      <c r="Q915" s="25" t="str">
        <f>HYPERLINK("http:/kameyamarekihaku.jp/sisi/tuusiHP_next/tuusi-index.html#kingendai0801","市史通史編 近代・現代第8章第1節")</f>
        <v>市史通史編 近代・現代第8章第1節</v>
      </c>
      <c r="R915" s="142" t="s">
        <v>2365</v>
      </c>
    </row>
    <row r="916" spans="1:18" s="139" customFormat="1" ht="28.5" customHeight="1" x14ac:dyDescent="0.15">
      <c r="A916" s="142" t="s">
        <v>2375</v>
      </c>
      <c r="B916" s="142">
        <v>20</v>
      </c>
      <c r="C916" s="143" t="s">
        <v>2563</v>
      </c>
      <c r="D916" s="143">
        <v>1937</v>
      </c>
      <c r="E916" s="144" t="s">
        <v>34</v>
      </c>
      <c r="F916" s="143"/>
      <c r="G916" s="143" t="s">
        <v>2578</v>
      </c>
      <c r="H916" s="142" t="s">
        <v>2131</v>
      </c>
      <c r="I916" s="143"/>
      <c r="J916" s="142"/>
      <c r="K916" s="142"/>
      <c r="L916" s="142" t="s">
        <v>2579</v>
      </c>
      <c r="M916" s="142"/>
      <c r="N916" s="12"/>
      <c r="O916" s="12" t="e">
        <v>#VALUE!</v>
      </c>
      <c r="P916" s="13" t="str">
        <f t="shared" si="15"/>
        <v/>
      </c>
      <c r="Q916" s="158"/>
      <c r="R916" s="142" t="s">
        <v>2371</v>
      </c>
    </row>
    <row r="917" spans="1:18" s="139" customFormat="1" ht="15" customHeight="1" x14ac:dyDescent="0.15">
      <c r="A917" s="142" t="s">
        <v>2375</v>
      </c>
      <c r="B917" s="142">
        <v>20</v>
      </c>
      <c r="C917" s="143" t="s">
        <v>2563</v>
      </c>
      <c r="D917" s="143">
        <v>1937</v>
      </c>
      <c r="E917" s="144" t="s">
        <v>20</v>
      </c>
      <c r="F917" s="143"/>
      <c r="G917" s="143" t="s">
        <v>2580</v>
      </c>
      <c r="H917" s="142" t="s">
        <v>2131</v>
      </c>
      <c r="I917" s="143" t="s">
        <v>2367</v>
      </c>
      <c r="J917" s="142" t="s">
        <v>2581</v>
      </c>
      <c r="K917" s="142"/>
      <c r="L917" s="142" t="s">
        <v>2582</v>
      </c>
      <c r="M917" s="142"/>
      <c r="N917" s="23"/>
      <c r="O917" s="23" t="e">
        <v>#VALUE!</v>
      </c>
      <c r="P917" s="24" t="str">
        <f t="shared" si="15"/>
        <v/>
      </c>
      <c r="Q917" s="25" t="str">
        <f>HYPERLINK("http://kameyamarekihaku.jp/sisi/RekisiHP/kingendai/quiz/kawa.hasi.mici/hasi.kawa.michi.html","市史近代・現代ページ 道・橋・川クイズ")</f>
        <v>市史近代・現代ページ 道・橋・川クイズ</v>
      </c>
      <c r="R917" s="142" t="s">
        <v>2371</v>
      </c>
    </row>
    <row r="918" spans="1:18" s="139" customFormat="1" ht="15" customHeight="1" x14ac:dyDescent="0.15">
      <c r="A918" s="142" t="s">
        <v>2375</v>
      </c>
      <c r="B918" s="142">
        <v>20</v>
      </c>
      <c r="C918" s="143" t="s">
        <v>2583</v>
      </c>
      <c r="D918" s="143">
        <v>1938</v>
      </c>
      <c r="E918" s="144" t="s">
        <v>20</v>
      </c>
      <c r="F918" s="143" t="s">
        <v>2584</v>
      </c>
      <c r="G918" s="143"/>
      <c r="H918" s="142"/>
      <c r="I918" s="143"/>
      <c r="J918" s="142"/>
      <c r="K918" s="142"/>
      <c r="L918" s="142"/>
      <c r="M918" s="142"/>
      <c r="N918" s="12"/>
      <c r="O918" s="12" t="e">
        <v>#VALUE!</v>
      </c>
      <c r="P918" s="13" t="str">
        <f t="shared" si="15"/>
        <v/>
      </c>
      <c r="Q918" s="158"/>
      <c r="R918" s="142"/>
    </row>
    <row r="919" spans="1:18" s="139" customFormat="1" ht="100.5" customHeight="1" x14ac:dyDescent="0.15">
      <c r="A919" s="142" t="s">
        <v>2375</v>
      </c>
      <c r="B919" s="142">
        <v>20</v>
      </c>
      <c r="C919" s="143" t="s">
        <v>2583</v>
      </c>
      <c r="D919" s="143">
        <v>1938</v>
      </c>
      <c r="E919" s="144" t="s">
        <v>20</v>
      </c>
      <c r="F919" s="143"/>
      <c r="G919" s="143" t="s">
        <v>2585</v>
      </c>
      <c r="H919" s="142" t="s">
        <v>250</v>
      </c>
      <c r="I919" s="143" t="s">
        <v>2247</v>
      </c>
      <c r="J919" s="142" t="s">
        <v>2586</v>
      </c>
      <c r="K919" s="142"/>
      <c r="L919" s="142" t="s">
        <v>2587</v>
      </c>
      <c r="M919" s="142"/>
      <c r="N919" s="23" t="s">
        <v>2588</v>
      </c>
      <c r="O919" s="23" t="s">
        <v>2552</v>
      </c>
      <c r="P919" s="24" t="str">
        <f t="shared" si="15"/>
        <v>日本の歴史の中の亀山／近代の亀山／第２次世界大戦と亀山／戦時下のくらし</v>
      </c>
      <c r="Q919" s="25" t="str">
        <f>HYPERLINK("http://kameyamarekihaku.jp/sisi/RekisiHP/kingendai/quiz/school/schoo01l.html","市史近代・現代ページ 学校クイズ")</f>
        <v>市史近代・現代ページ 学校クイズ</v>
      </c>
      <c r="R919" s="142" t="s">
        <v>2365</v>
      </c>
    </row>
    <row r="920" spans="1:18" s="139" customFormat="1" ht="57" customHeight="1" x14ac:dyDescent="0.15">
      <c r="A920" s="142" t="s">
        <v>2375</v>
      </c>
      <c r="B920" s="142">
        <v>20</v>
      </c>
      <c r="C920" s="143" t="s">
        <v>2583</v>
      </c>
      <c r="D920" s="143">
        <v>1938</v>
      </c>
      <c r="E920" s="144" t="s">
        <v>20</v>
      </c>
      <c r="F920" s="143"/>
      <c r="G920" s="143" t="s">
        <v>2589</v>
      </c>
      <c r="H920" s="142" t="s">
        <v>2131</v>
      </c>
      <c r="I920" s="175" t="s">
        <v>2590</v>
      </c>
      <c r="J920" s="142" t="s">
        <v>2591</v>
      </c>
      <c r="K920" s="142"/>
      <c r="L920" s="142"/>
      <c r="M920" s="82" t="str">
        <f>HYPERLINK("http:/kameyamarekihaku.jp/sisi/tuusiHP_next/kingendai/image/09/gi.htm?pf=3097sh009-08.JPG&amp;?pn=%E5%9B%BD%E7%99%BB%E9%8C%B2%E6%96%87%E5%8C%96%E8%B2%A1%E9%88%B4%E9%B9%BF%E5%B3%A0%E8%87%AA%E7%84%B6%E3%81%AE%E5%AE%B6","鈴鹿峠自然の家")</f>
        <v>鈴鹿峠自然の家</v>
      </c>
      <c r="N920" s="12"/>
      <c r="O920" s="12" t="e">
        <v>#VALUE!</v>
      </c>
      <c r="P920" s="13" t="str">
        <f t="shared" si="15"/>
        <v/>
      </c>
      <c r="Q920" s="158"/>
      <c r="R920" s="142" t="s">
        <v>2371</v>
      </c>
    </row>
    <row r="921" spans="1:18" s="139" customFormat="1" ht="50.25" customHeight="1" x14ac:dyDescent="0.15">
      <c r="A921" s="142" t="s">
        <v>2375</v>
      </c>
      <c r="B921" s="142">
        <v>20</v>
      </c>
      <c r="C921" s="143" t="s">
        <v>2583</v>
      </c>
      <c r="D921" s="143">
        <v>1938</v>
      </c>
      <c r="E921" s="144" t="s">
        <v>20</v>
      </c>
      <c r="F921" s="143"/>
      <c r="G921" s="143" t="s">
        <v>2592</v>
      </c>
      <c r="H921" s="142" t="s">
        <v>2131</v>
      </c>
      <c r="I921" s="143" t="s">
        <v>2593</v>
      </c>
      <c r="J921" s="142" t="s">
        <v>2594</v>
      </c>
      <c r="K921" s="142"/>
      <c r="L921" s="142"/>
      <c r="M921" s="142"/>
      <c r="N921" s="23"/>
      <c r="O921" s="23" t="e">
        <v>#VALUE!</v>
      </c>
      <c r="P921" s="24" t="str">
        <f t="shared" si="15"/>
        <v/>
      </c>
      <c r="Q921" s="25" t="str">
        <f>HYPERLINK("http://kameyamarekihaku.jp/sisi/RekisiHP/kingendai/saigai/saigai-showa/saigai-showa-14.html","市史近代・現代ページ　亀山の災害")</f>
        <v>市史近代・現代ページ　亀山の災害</v>
      </c>
      <c r="R921" s="142" t="s">
        <v>2371</v>
      </c>
    </row>
    <row r="922" spans="1:18" s="139" customFormat="1" ht="42.75" customHeight="1" x14ac:dyDescent="0.15">
      <c r="A922" s="142" t="s">
        <v>2375</v>
      </c>
      <c r="B922" s="142">
        <v>20</v>
      </c>
      <c r="C922" s="143" t="s">
        <v>2595</v>
      </c>
      <c r="D922" s="143">
        <v>1939</v>
      </c>
      <c r="E922" s="144" t="s">
        <v>34</v>
      </c>
      <c r="F922" s="143"/>
      <c r="G922" s="143" t="s">
        <v>2596</v>
      </c>
      <c r="H922" s="142" t="s">
        <v>250</v>
      </c>
      <c r="I922" s="143" t="s">
        <v>2247</v>
      </c>
      <c r="J922" s="142" t="s">
        <v>2586</v>
      </c>
      <c r="K922" s="142" t="s">
        <v>2597</v>
      </c>
      <c r="L922" s="142"/>
      <c r="M922" s="142"/>
      <c r="N922" s="23" t="s">
        <v>2598</v>
      </c>
      <c r="O922" s="23" t="s">
        <v>2599</v>
      </c>
      <c r="P922" s="24" t="str">
        <f t="shared" si="15"/>
        <v>亀山市の名誉市民／旧亀山市の名誉市民</v>
      </c>
      <c r="Q922" s="25" t="str">
        <f>HYPERLINK("http://kameyamarekihaku.jp/23kikaku/info.html","企画展「－世界に冠たる亀山人－映画監督衣笠貞之助と言語学者服部四郎」")</f>
        <v>企画展「－世界に冠たる亀山人－映画監督衣笠貞之助と言語学者服部四郎」</v>
      </c>
      <c r="R922" s="142" t="s">
        <v>2365</v>
      </c>
    </row>
    <row r="923" spans="1:18" s="139" customFormat="1" ht="30" customHeight="1" x14ac:dyDescent="0.15">
      <c r="A923" s="142" t="s">
        <v>2375</v>
      </c>
      <c r="B923" s="142">
        <v>20</v>
      </c>
      <c r="C923" s="143" t="s">
        <v>2595</v>
      </c>
      <c r="D923" s="143">
        <v>1939</v>
      </c>
      <c r="E923" s="144" t="s">
        <v>20</v>
      </c>
      <c r="F923" s="143"/>
      <c r="G923" s="143" t="s">
        <v>2600</v>
      </c>
      <c r="H923" s="142" t="s">
        <v>464</v>
      </c>
      <c r="I923" s="143" t="s">
        <v>2295</v>
      </c>
      <c r="J923" s="142" t="s">
        <v>2601</v>
      </c>
      <c r="K923" s="142"/>
      <c r="L923" s="142"/>
      <c r="M923" s="142"/>
      <c r="N923" s="23"/>
      <c r="O923" s="23" t="e">
        <v>#VALUE!</v>
      </c>
      <c r="P923" s="24" t="str">
        <f t="shared" si="15"/>
        <v/>
      </c>
      <c r="Q923" s="25" t="str">
        <f>HYPERLINK("http:/kameyamarekihaku.jp/sisi/RekisiHP/kingendai/quiz/kawa.hasi.mici/hasi.kawa.michi.html","市史近代・現代ページ 道・橋・川クイズ")</f>
        <v>市史近代・現代ページ 道・橋・川クイズ</v>
      </c>
      <c r="R923" s="142" t="s">
        <v>2602</v>
      </c>
    </row>
    <row r="924" spans="1:18" s="139" customFormat="1" ht="15" customHeight="1" x14ac:dyDescent="0.15">
      <c r="A924" s="142" t="s">
        <v>2375</v>
      </c>
      <c r="B924" s="142">
        <v>20</v>
      </c>
      <c r="C924" s="143" t="s">
        <v>2595</v>
      </c>
      <c r="D924" s="143">
        <v>1939</v>
      </c>
      <c r="E924" s="144" t="s">
        <v>20</v>
      </c>
      <c r="F924" s="143"/>
      <c r="G924" s="143" t="s">
        <v>2603</v>
      </c>
      <c r="H924" s="142" t="s">
        <v>1336</v>
      </c>
      <c r="I924" s="161" t="s">
        <v>2393</v>
      </c>
      <c r="J924" s="142" t="s">
        <v>2604</v>
      </c>
      <c r="K924" s="142"/>
      <c r="L924" s="142"/>
      <c r="M924" s="142"/>
      <c r="N924" s="12"/>
      <c r="O924" s="12" t="e">
        <v>#VALUE!</v>
      </c>
      <c r="P924" s="13" t="str">
        <f t="shared" si="15"/>
        <v/>
      </c>
      <c r="Q924" s="158"/>
      <c r="R924" s="142" t="s">
        <v>2371</v>
      </c>
    </row>
    <row r="925" spans="1:18" s="139" customFormat="1" ht="30" customHeight="1" x14ac:dyDescent="0.15">
      <c r="A925" s="142" t="s">
        <v>2375</v>
      </c>
      <c r="B925" s="142">
        <v>20</v>
      </c>
      <c r="C925" s="143" t="s">
        <v>2605</v>
      </c>
      <c r="D925" s="175">
        <v>1940</v>
      </c>
      <c r="E925" s="144" t="s">
        <v>20</v>
      </c>
      <c r="F925" s="143"/>
      <c r="G925" s="143" t="s">
        <v>2606</v>
      </c>
      <c r="H925" s="142" t="s">
        <v>250</v>
      </c>
      <c r="I925" s="143" t="s">
        <v>2607</v>
      </c>
      <c r="J925" s="120" t="s">
        <v>2608</v>
      </c>
      <c r="K925" s="142"/>
      <c r="L925" s="142"/>
      <c r="M925" s="142"/>
      <c r="N925" s="19" t="s">
        <v>2609</v>
      </c>
      <c r="O925" s="19" t="s">
        <v>2385</v>
      </c>
      <c r="P925" s="20" t="str">
        <f t="shared" si="15"/>
        <v>日本の歴史の中の亀山／現代の亀山／産業／工業／ローソク（２）</v>
      </c>
      <c r="Q925" s="21" t="str">
        <f>HYPERLINK("http:/kameyamarekihaku.jp/sisi/tuusiHP_next/tuusi-index.html#kingendai0802","市史通史編 近代・現代第8章第2節")</f>
        <v>市史通史編 近代・現代第8章第2節</v>
      </c>
      <c r="R925" s="142"/>
    </row>
    <row r="926" spans="1:18" s="6" customFormat="1" ht="28.5" customHeight="1" x14ac:dyDescent="0.15">
      <c r="A926" s="120" t="s">
        <v>2375</v>
      </c>
      <c r="B926" s="120">
        <v>20</v>
      </c>
      <c r="C926" s="175" t="s">
        <v>2610</v>
      </c>
      <c r="D926" s="175">
        <v>1940</v>
      </c>
      <c r="E926" s="144" t="s">
        <v>20</v>
      </c>
      <c r="F926" s="175"/>
      <c r="G926" s="175" t="s">
        <v>2611</v>
      </c>
      <c r="H926" s="142" t="s">
        <v>464</v>
      </c>
      <c r="I926" s="143" t="s">
        <v>2295</v>
      </c>
      <c r="J926" s="120" t="s">
        <v>2612</v>
      </c>
      <c r="K926" s="120" t="s">
        <v>2613</v>
      </c>
      <c r="L926" s="120"/>
      <c r="M926" s="120"/>
      <c r="N926" s="12"/>
      <c r="O926" s="12" t="e">
        <v>#VALUE!</v>
      </c>
      <c r="P926" s="13" t="str">
        <f t="shared" si="15"/>
        <v/>
      </c>
      <c r="Q926" s="192"/>
      <c r="R926" s="120"/>
    </row>
    <row r="927" spans="1:18" s="139" customFormat="1" ht="15" customHeight="1" x14ac:dyDescent="0.15">
      <c r="A927" s="142" t="s">
        <v>2375</v>
      </c>
      <c r="B927" s="142">
        <v>20</v>
      </c>
      <c r="C927" s="175" t="s">
        <v>2610</v>
      </c>
      <c r="D927" s="175">
        <v>1940</v>
      </c>
      <c r="E927" s="144" t="s">
        <v>34</v>
      </c>
      <c r="F927" s="143"/>
      <c r="G927" s="143" t="s">
        <v>2614</v>
      </c>
      <c r="H927" s="142" t="s">
        <v>2131</v>
      </c>
      <c r="I927" s="143" t="s">
        <v>2475</v>
      </c>
      <c r="J927" s="142" t="s">
        <v>2615</v>
      </c>
      <c r="K927" s="142"/>
      <c r="L927" s="142"/>
      <c r="M927" s="142" t="s">
        <v>2616</v>
      </c>
      <c r="N927" s="12"/>
      <c r="O927" s="12" t="e">
        <v>#VALUE!</v>
      </c>
      <c r="P927" s="13" t="str">
        <f t="shared" si="15"/>
        <v/>
      </c>
      <c r="Q927" s="158"/>
      <c r="R927" s="142" t="s">
        <v>2371</v>
      </c>
    </row>
    <row r="928" spans="1:18" s="139" customFormat="1" ht="28.5" customHeight="1" x14ac:dyDescent="0.15">
      <c r="A928" s="142" t="s">
        <v>2375</v>
      </c>
      <c r="B928" s="142">
        <v>20</v>
      </c>
      <c r="C928" s="175" t="s">
        <v>2610</v>
      </c>
      <c r="D928" s="175">
        <v>1940</v>
      </c>
      <c r="E928" s="144" t="s">
        <v>20</v>
      </c>
      <c r="F928" s="143"/>
      <c r="G928" s="143" t="s">
        <v>2617</v>
      </c>
      <c r="H928" s="142" t="s">
        <v>2131</v>
      </c>
      <c r="I928" s="175" t="s">
        <v>2475</v>
      </c>
      <c r="J928" s="142" t="s">
        <v>2618</v>
      </c>
      <c r="K928" s="142"/>
      <c r="L928" s="142"/>
      <c r="M928" s="142"/>
      <c r="N928" s="12"/>
      <c r="O928" s="12" t="e">
        <v>#VALUE!</v>
      </c>
      <c r="P928" s="13" t="str">
        <f t="shared" si="15"/>
        <v/>
      </c>
      <c r="Q928" s="158"/>
      <c r="R928" s="142" t="s">
        <v>2371</v>
      </c>
    </row>
    <row r="929" spans="1:18" s="139" customFormat="1" ht="15" customHeight="1" x14ac:dyDescent="0.15">
      <c r="A929" s="142" t="s">
        <v>2375</v>
      </c>
      <c r="B929" s="142">
        <v>20</v>
      </c>
      <c r="C929" s="143" t="s">
        <v>2619</v>
      </c>
      <c r="D929" s="143">
        <v>1940</v>
      </c>
      <c r="E929" s="144" t="s">
        <v>59</v>
      </c>
      <c r="F929" s="143" t="s">
        <v>2620</v>
      </c>
      <c r="G929" s="143"/>
      <c r="H929" s="142"/>
      <c r="I929" s="143"/>
      <c r="J929" s="142"/>
      <c r="K929" s="142"/>
      <c r="L929" s="142"/>
      <c r="M929" s="142"/>
      <c r="N929" s="12"/>
      <c r="O929" s="12" t="e">
        <v>#VALUE!</v>
      </c>
      <c r="P929" s="13" t="str">
        <f t="shared" si="15"/>
        <v/>
      </c>
      <c r="Q929" s="158"/>
      <c r="R929" s="142"/>
    </row>
    <row r="930" spans="1:18" s="139" customFormat="1" ht="36" customHeight="1" x14ac:dyDescent="0.15">
      <c r="A930" s="142" t="s">
        <v>2375</v>
      </c>
      <c r="B930" s="142">
        <v>20</v>
      </c>
      <c r="C930" s="143" t="s">
        <v>2621</v>
      </c>
      <c r="D930" s="143">
        <v>1941</v>
      </c>
      <c r="E930" s="144" t="s">
        <v>20</v>
      </c>
      <c r="F930" s="143"/>
      <c r="G930" s="143" t="s">
        <v>2622</v>
      </c>
      <c r="H930" s="142"/>
      <c r="I930" s="143"/>
      <c r="J930" s="142"/>
      <c r="K930" s="142"/>
      <c r="L930" s="142"/>
      <c r="M930" s="142"/>
      <c r="N930" s="12" t="s">
        <v>2623</v>
      </c>
      <c r="O930" s="12" t="s">
        <v>2624</v>
      </c>
      <c r="P930" s="13" t="str">
        <f t="shared" si="15"/>
        <v>学校のあゆみ</v>
      </c>
      <c r="Q930" s="158"/>
      <c r="R930" s="142" t="s">
        <v>2365</v>
      </c>
    </row>
    <row r="931" spans="1:18" s="139" customFormat="1" ht="30.75" customHeight="1" x14ac:dyDescent="0.15">
      <c r="A931" s="145" t="s">
        <v>2375</v>
      </c>
      <c r="B931" s="145">
        <v>20</v>
      </c>
      <c r="C931" s="146" t="s">
        <v>2621</v>
      </c>
      <c r="D931" s="146">
        <v>1941</v>
      </c>
      <c r="E931" s="147" t="s">
        <v>59</v>
      </c>
      <c r="F931" s="146" t="s">
        <v>2625</v>
      </c>
      <c r="G931" s="146"/>
      <c r="H931" s="145"/>
      <c r="I931" s="146"/>
      <c r="J931" s="145"/>
      <c r="K931" s="145"/>
      <c r="L931" s="160" t="s">
        <v>2626</v>
      </c>
      <c r="M931" s="145"/>
      <c r="N931" s="32" t="s">
        <v>2627</v>
      </c>
      <c r="O931" s="32" t="s">
        <v>2628</v>
      </c>
      <c r="P931" s="33" t="str">
        <f t="shared" si="15"/>
        <v>日本の歴史の中の亀山／近代の亀山／第２次世界大戦と亀山</v>
      </c>
      <c r="Q931" s="337" t="str">
        <f>HYPERLINK("http:/kameyamarekihaku.jp/18kikaku/webzuroku/corner4.html","第18回企画展　昔の人のファッションと歴史～４．戦時下の服装（昭和時代）")</f>
        <v>第18回企画展　昔の人のファッションと歴史～４．戦時下の服装（昭和時代）</v>
      </c>
      <c r="R931" s="160" t="s">
        <v>2629</v>
      </c>
    </row>
    <row r="932" spans="1:18" s="139" customFormat="1" ht="18.75" customHeight="1" x14ac:dyDescent="0.15">
      <c r="A932" s="136"/>
      <c r="B932" s="136"/>
      <c r="C932" s="137"/>
      <c r="D932" s="137"/>
      <c r="E932" s="138"/>
      <c r="F932" s="137"/>
      <c r="G932" s="137"/>
      <c r="H932" s="136"/>
      <c r="I932" s="137"/>
      <c r="J932" s="136"/>
      <c r="K932" s="136"/>
      <c r="L932" s="76" t="str">
        <f>HYPERLINK("http://kameyamarekihaku.jp/18kikaku/webzuroku/gi_auto.html?pf=057.jpg&amp;?pn=%E5%8D%83%E4%BA%BA%E9%87%9D%EF%BC%88%E9%A4%A8%E8%94%B5%E7%94%B0%E4%B8%AD%E5%AE%B6%E8%B3%87%E6%96%99%EF%BC%89","千人針（館蔵田中家資料）")</f>
        <v>千人針（館蔵田中家資料）</v>
      </c>
      <c r="M932" s="136"/>
      <c r="N932" s="19"/>
      <c r="O932" s="19" t="e">
        <v>#VALUE!</v>
      </c>
      <c r="P932" s="20" t="str">
        <f t="shared" si="15"/>
        <v/>
      </c>
      <c r="Q932" s="338"/>
      <c r="R932" s="79"/>
    </row>
    <row r="933" spans="1:18" s="139" customFormat="1" ht="18.75" customHeight="1" x14ac:dyDescent="0.15">
      <c r="A933" s="136"/>
      <c r="B933" s="136"/>
      <c r="C933" s="137"/>
      <c r="D933" s="137"/>
      <c r="E933" s="138"/>
      <c r="F933" s="137"/>
      <c r="G933" s="137"/>
      <c r="H933" s="136"/>
      <c r="I933" s="137"/>
      <c r="J933" s="136"/>
      <c r="K933" s="136"/>
      <c r="L933" s="76" t="str">
        <f>HYPERLINK("http://kameyamarekihaku.jp/18kikaku/webzuroku/gi_auto.html?pf=056.jpg&amp;?pn=%E5%8D%83%E4%BA%BA%E5%8A%9B%EF%BC%88%E9%A4%A8%E8%94%B5%E5%AE%AE%E6%9D%91%E5%AE%B6%E8%B3%87%E6%96%99%EF%BC%89","千人力（館蔵宮村家資料)")</f>
        <v>千人力（館蔵宮村家資料)</v>
      </c>
      <c r="M933" s="136"/>
      <c r="N933" s="19"/>
      <c r="O933" s="19" t="e">
        <v>#VALUE!</v>
      </c>
      <c r="P933" s="20" t="str">
        <f t="shared" si="15"/>
        <v/>
      </c>
      <c r="Q933" s="338" t="str">
        <f>HYPERLINK("http:/kameyamarekihaku.jp/sisi/tuusiHP_next/tuusi-index.html#kingendai0702","市史通史編 近代・現代第7章第2節")</f>
        <v>市史通史編 近代・現代第7章第2節</v>
      </c>
      <c r="R933" s="79"/>
    </row>
    <row r="934" spans="1:18" s="139" customFormat="1" ht="32.25" customHeight="1" x14ac:dyDescent="0.15">
      <c r="A934" s="136"/>
      <c r="B934" s="136"/>
      <c r="C934" s="137"/>
      <c r="D934" s="137"/>
      <c r="E934" s="138"/>
      <c r="F934" s="137"/>
      <c r="G934" s="137"/>
      <c r="H934" s="136"/>
      <c r="I934" s="137"/>
      <c r="J934" s="136"/>
      <c r="K934" s="136"/>
      <c r="L934" s="76" t="str">
        <f>HYPERLINK("http://kameyamarekihaku.jp/18kikaku/webzuroku/gi_auto.html?pf=054.jpg&amp;?pn=%E5%BE%B4%E7%94%A8%E8%B5%A4%E3%81%9F%E3%81%99%E3%81%8D%EF%BC%88%E9%A4%A8%E8%94%B5%E5%A4%A7%E5%B7%9D%E5%AE%B6%E8%B3%87%E6%96%99%EF%BC%89","徴用赤たすき（館蔵大川家資料）")</f>
        <v>徴用赤たすき（館蔵大川家資料）</v>
      </c>
      <c r="M934" s="136"/>
      <c r="N934" s="19"/>
      <c r="O934" s="19" t="e">
        <v>#VALUE!</v>
      </c>
      <c r="P934" s="20" t="str">
        <f t="shared" si="15"/>
        <v/>
      </c>
      <c r="Q934" s="338"/>
      <c r="R934" s="79"/>
    </row>
    <row r="935" spans="1:18" s="139" customFormat="1" ht="33" customHeight="1" x14ac:dyDescent="0.15">
      <c r="A935" s="136"/>
      <c r="B935" s="136"/>
      <c r="C935" s="137"/>
      <c r="D935" s="137"/>
      <c r="E935" s="138"/>
      <c r="F935" s="137"/>
      <c r="G935" s="137"/>
      <c r="H935" s="136"/>
      <c r="I935" s="137"/>
      <c r="J935" s="136"/>
      <c r="K935" s="136"/>
      <c r="L935" s="76" t="str">
        <f>HYPERLINK("http://kameyamarekihaku.jp/18kikaku/webzuroku/gi_auto.html?pf=058.jpg&amp;?pn=%E5%87%BA%E5%BE%81%E6%99%82%E3%81%AE%E5%86%99%E7%9C%9F%EF%BC%88%E9%A4%A8%E8%94%B5%E5%B0%8F%E4%BA%80%E5%AE%B6%E8%B3%87%E6%96%99%EF%BC%89","出征時の写真（館蔵小亀家資料）")</f>
        <v>出征時の写真（館蔵小亀家資料）</v>
      </c>
      <c r="M935" s="136"/>
      <c r="N935" s="19"/>
      <c r="O935" s="19" t="e">
        <v>#VALUE!</v>
      </c>
      <c r="P935" s="20" t="str">
        <f t="shared" si="15"/>
        <v/>
      </c>
      <c r="Q935" s="234" t="str">
        <f>HYPERLINK("http://kameyamarekihaku.jp/raikan_demae/140806_higasi_syo.html","東小5，6年出前授業「平和学習」")</f>
        <v>東小5，6年出前授業「平和学習」</v>
      </c>
      <c r="R935" s="79"/>
    </row>
    <row r="936" spans="1:18" s="139" customFormat="1" ht="33" customHeight="1" x14ac:dyDescent="0.15">
      <c r="A936" s="136"/>
      <c r="B936" s="136"/>
      <c r="C936" s="137"/>
      <c r="D936" s="137"/>
      <c r="E936" s="138"/>
      <c r="F936" s="137"/>
      <c r="G936" s="137"/>
      <c r="H936" s="136"/>
      <c r="I936" s="137"/>
      <c r="J936" s="136"/>
      <c r="K936" s="136"/>
      <c r="L936" s="76" t="str">
        <f>HYPERLINK("http://kameyamarekihaku.jp/18kikaku/webzuroku/gi_auto.html?pf=073.JPG&amp;pn=%E3%81%A4%E3%81%B0%E7%84%A1%E3%81%97%E9%98%B2%E7%A9%BA%E9%A0%AD%E5%B7%BE%EF%BC%88%E9%A4%A8%E8%94%B5%E5%B0%8F%E5%9D%82%E5%AE%B6%E8%B3%87%E6%96%99%EF%BC%89","つば無し防空頭巾（館蔵小坂家資料）")</f>
        <v>つば無し防空頭巾（館蔵小坂家資料）</v>
      </c>
      <c r="M936" s="136"/>
      <c r="N936" s="19"/>
      <c r="O936" s="19" t="e">
        <v>#VALUE!</v>
      </c>
      <c r="P936" s="20" t="str">
        <f t="shared" si="15"/>
        <v/>
      </c>
      <c r="Q936" s="234" t="str">
        <f>HYPERLINK("http://kameyamarekihaku.jp/raikan_demae/131202_ida_syo.html","井田川小6年授業支援実践例「アジア・太平洋に広がる戦争」")</f>
        <v>井田川小6年授業支援実践例「アジア・太平洋に広がる戦争」</v>
      </c>
      <c r="R936" s="79"/>
    </row>
    <row r="937" spans="1:18" s="139" customFormat="1" ht="21.75" customHeight="1" x14ac:dyDescent="0.15">
      <c r="A937" s="136"/>
      <c r="B937" s="136"/>
      <c r="C937" s="137"/>
      <c r="D937" s="137"/>
      <c r="E937" s="138"/>
      <c r="F937" s="137"/>
      <c r="G937" s="137"/>
      <c r="H937" s="136"/>
      <c r="I937" s="137"/>
      <c r="J937" s="136"/>
      <c r="K937" s="136"/>
      <c r="L937" s="76" t="str">
        <f>HYPERLINK("http://kameyamarekihaku.jp/18kikaku/webzuroku/siryougazou/068/068.html","衣料切符（館蔵蔵城家資料）")</f>
        <v>衣料切符（館蔵蔵城家資料）</v>
      </c>
      <c r="M937" s="136"/>
      <c r="N937" s="176"/>
      <c r="O937" s="177" t="e">
        <v>#VALUE!</v>
      </c>
      <c r="P937" s="85" t="str">
        <f t="shared" si="15"/>
        <v/>
      </c>
      <c r="R937" s="79"/>
    </row>
    <row r="938" spans="1:18" s="139" customFormat="1" ht="32.25" customHeight="1" x14ac:dyDescent="0.15">
      <c r="A938" s="136"/>
      <c r="B938" s="136"/>
      <c r="C938" s="137"/>
      <c r="D938" s="137"/>
      <c r="E938" s="138"/>
      <c r="F938" s="137"/>
      <c r="G938" s="137"/>
      <c r="H938" s="136"/>
      <c r="I938" s="137"/>
      <c r="J938" s="136"/>
      <c r="K938" s="136"/>
      <c r="L938" s="76" t="str">
        <f>HYPERLINK("http://kameyamarekihaku.jp/18kikaku/webzuroku/gi_auto.html?pf=070.JPG&amp;pn=%E3%80%8C%E8%A1%A3%E6%96%99%E5%88%87%E7%AC%A6%E4%BA%A4%E6%8F%9B%E3%83%8B%E9%96%A2%E3%82%B9%E3%83%AB%E4%BB%B6%E3%80%8D%EF%BC%88%E9%A4%A8%E8%94%B5%EF%BC%89","「衣料切符交換ニ関スル件」(昭和17年1月28日)")</f>
        <v>「衣料切符交換ニ関スル件」(昭和17年1月28日)</v>
      </c>
      <c r="M938" s="136"/>
      <c r="N938" s="19"/>
      <c r="O938" s="19" t="e">
        <v>#VALUE!</v>
      </c>
      <c r="P938" s="20" t="str">
        <f t="shared" si="15"/>
        <v/>
      </c>
      <c r="Q938" s="234" t="str">
        <f>HYPERLINK("http://kameyamarekihaku.jp/raikan_demae/130710_kame_tyu.html","亀中3年授業支援実践例「第二次世界大戦と日本」")</f>
        <v>亀中3年授業支援実践例「第二次世界大戦と日本」</v>
      </c>
      <c r="R938" s="79"/>
    </row>
    <row r="939" spans="1:18" s="139" customFormat="1" ht="32.25" customHeight="1" x14ac:dyDescent="0.15">
      <c r="A939" s="136"/>
      <c r="B939" s="136"/>
      <c r="C939" s="137"/>
      <c r="D939" s="137"/>
      <c r="E939" s="138"/>
      <c r="F939" s="137"/>
      <c r="G939" s="137"/>
      <c r="H939" s="136"/>
      <c r="I939" s="137"/>
      <c r="J939" s="136"/>
      <c r="K939" s="136"/>
      <c r="L939" s="76" t="str">
        <f>HYPERLINK("http://kameyamarekihaku.jp/18kikaku/webzuroku/gi_auto.html?pf=071.JPG&amp;pn=%E3%80%8C%E8%A1%A3%E6%96%99%E5%88%87%E7%AC%A6%E4%BA%A4%E6%8F%9B%E3%83%8B%E9%96%A2%E3%82%B9%E3%83%AB%E4%BB%B6%E3%80%8D%EF%BC%88%E9%A4%A8%E8%94%B5%EF%BC%89","「衣料切符交換ニ関スル件」(昭和17年1月31日)")</f>
        <v>「衣料切符交換ニ関スル件」(昭和17年1月31日)</v>
      </c>
      <c r="M939" s="136"/>
      <c r="N939" s="19"/>
      <c r="O939" s="19" t="e">
        <v>#VALUE!</v>
      </c>
      <c r="P939" s="20" t="str">
        <f t="shared" si="15"/>
        <v/>
      </c>
      <c r="Q939" s="234" t="str">
        <f>HYPERLINK("http://kameyamarekihaku.jp/yane_no_nai/jissen_rei/nishi.html","西小5，6年出前授業実践例「平和学習」")</f>
        <v>西小5，6年出前授業実践例「平和学習」</v>
      </c>
      <c r="R939" s="79"/>
    </row>
    <row r="940" spans="1:18" s="139" customFormat="1" ht="30.75" customHeight="1" x14ac:dyDescent="0.15">
      <c r="A940" s="151"/>
      <c r="B940" s="151"/>
      <c r="C940" s="152"/>
      <c r="D940" s="152"/>
      <c r="E940" s="153"/>
      <c r="F940" s="152"/>
      <c r="G940" s="152"/>
      <c r="H940" s="151"/>
      <c r="I940" s="152"/>
      <c r="J940" s="151"/>
      <c r="K940" s="151"/>
      <c r="L940" s="226" t="str">
        <f>HYPERLINK("http://kameyamarekihaku.jp/yane_no_nai/unit_leaf/A-11.pdf","歴博貸出ユニットA－11")</f>
        <v>歴博貸出ユニットA－11</v>
      </c>
      <c r="M940" s="151"/>
      <c r="N940" s="125"/>
      <c r="O940" s="86" t="e">
        <v>#VALUE!</v>
      </c>
      <c r="P940" s="87" t="str">
        <f t="shared" si="15"/>
        <v/>
      </c>
      <c r="Q940" s="151"/>
      <c r="R940" s="157"/>
    </row>
    <row r="941" spans="1:18" s="6" customFormat="1" ht="47.25" customHeight="1" x14ac:dyDescent="0.15">
      <c r="A941" s="88" t="s">
        <v>2375</v>
      </c>
      <c r="B941" s="88">
        <v>20</v>
      </c>
      <c r="C941" s="163" t="s">
        <v>2630</v>
      </c>
      <c r="D941" s="163">
        <v>1941</v>
      </c>
      <c r="E941" s="147" t="s">
        <v>20</v>
      </c>
      <c r="F941" s="163"/>
      <c r="G941" s="349" t="s">
        <v>2631</v>
      </c>
      <c r="H941" s="88" t="s">
        <v>48</v>
      </c>
      <c r="I941" s="163" t="s">
        <v>2632</v>
      </c>
      <c r="J941" s="351" t="s">
        <v>2633</v>
      </c>
      <c r="K941" s="88"/>
      <c r="L941" s="88" t="s">
        <v>2634</v>
      </c>
      <c r="M941" s="88" t="s">
        <v>2635</v>
      </c>
      <c r="N941" s="32" t="s">
        <v>2636</v>
      </c>
      <c r="O941" s="32" t="s">
        <v>2637</v>
      </c>
      <c r="P941" s="33" t="str">
        <f t="shared" si="15"/>
        <v>日本の歴史の中の亀山／近代の亀山／第２次世界大戦と亀山／北伊勢飛行場</v>
      </c>
      <c r="Q941" s="48" t="str">
        <f>HYPERLINK("http:/kameyamarekihaku.jp/sisi/tuusiHP_next/tuusi-index.html#kingendai0702","市史通史編 近代・現代第7章第2節")</f>
        <v>市史通史編 近代・現代第7章第2節</v>
      </c>
      <c r="R941" s="351" t="s">
        <v>2638</v>
      </c>
    </row>
    <row r="942" spans="1:18" s="6" customFormat="1" ht="31.5" customHeight="1" x14ac:dyDescent="0.15">
      <c r="A942" s="90"/>
      <c r="B942" s="90"/>
      <c r="C942" s="165"/>
      <c r="D942" s="165"/>
      <c r="E942" s="138"/>
      <c r="F942" s="165"/>
      <c r="G942" s="350"/>
      <c r="H942" s="90"/>
      <c r="I942" s="165"/>
      <c r="J942" s="352"/>
      <c r="K942" s="90"/>
      <c r="L942" s="226" t="str">
        <f>HYPERLINK("http://kameyamarekihaku.jp/yane_no_nai/unit_leaf/A-20.pdf","歴博貸出ユニットA－20")</f>
        <v>歴博貸出ユニットA－20</v>
      </c>
      <c r="M942" s="90"/>
      <c r="N942" s="42"/>
      <c r="O942" s="19" t="e">
        <v>#VALUE!</v>
      </c>
      <c r="P942" s="20" t="str">
        <f t="shared" si="15"/>
        <v/>
      </c>
      <c r="Q942" s="214" t="str">
        <f>HYPERLINK("http://kameyamarekihaku.jp/yane_no_nai/kawasaki_sidouan.pdf","川崎小6年地域素材の教材化実践例「北伊勢陸軍飛行場」")</f>
        <v>川崎小6年地域素材の教材化実践例「北伊勢陸軍飛行場」</v>
      </c>
      <c r="R942" s="352"/>
    </row>
    <row r="943" spans="1:18" s="6" customFormat="1" ht="43.5" customHeight="1" x14ac:dyDescent="0.15">
      <c r="A943" s="88" t="s">
        <v>2375</v>
      </c>
      <c r="B943" s="88">
        <v>20</v>
      </c>
      <c r="C943" s="163" t="s">
        <v>2639</v>
      </c>
      <c r="D943" s="163">
        <v>1942</v>
      </c>
      <c r="E943" s="147" t="s">
        <v>20</v>
      </c>
      <c r="F943" s="163"/>
      <c r="G943" s="163" t="s">
        <v>2640</v>
      </c>
      <c r="H943" s="88"/>
      <c r="I943" s="163"/>
      <c r="J943" s="88"/>
      <c r="K943" s="88"/>
      <c r="L943" s="16" t="str">
        <f>HYPERLINK("http://kameyamarekihaku.jp/18kikaku/webzuroku/siryougazou/068/068.html","衣料切符")</f>
        <v>衣料切符</v>
      </c>
      <c r="M943" s="88"/>
      <c r="N943" s="32" t="s">
        <v>2641</v>
      </c>
      <c r="O943" s="32" t="s">
        <v>2552</v>
      </c>
      <c r="P943" s="33" t="str">
        <f t="shared" si="15"/>
        <v>日本の歴史の中の亀山／近代の亀山／第２次世界大戦と亀山／戦時下のくらし</v>
      </c>
      <c r="Q943" s="48" t="str">
        <f>HYPERLINK("http:/kameyamarekihaku.jp/18kikaku/webzuroku/corner4.html","第18回企画展昔の人のファッションと歴史～４．戦時下の服装昭和時代")</f>
        <v>第18回企画展昔の人のファッションと歴史～４．戦時下の服装昭和時代</v>
      </c>
      <c r="R943" s="88" t="s">
        <v>2642</v>
      </c>
    </row>
    <row r="944" spans="1:18" s="6" customFormat="1" ht="27" customHeight="1" x14ac:dyDescent="0.15">
      <c r="A944" s="90"/>
      <c r="B944" s="90"/>
      <c r="C944" s="165"/>
      <c r="D944" s="165"/>
      <c r="E944" s="138"/>
      <c r="F944" s="165"/>
      <c r="G944" s="165"/>
      <c r="H944" s="90"/>
      <c r="I944" s="165"/>
      <c r="J944" s="90"/>
      <c r="K944" s="90"/>
      <c r="L944" s="226" t="str">
        <f>HYPERLINK("http://kameyamarekihaku.jp/yane_no_nai/unit_leaf/A-11.pdf","歴博貸出ユニットA－11")</f>
        <v>歴博貸出ユニットA－11</v>
      </c>
      <c r="M944" s="90"/>
      <c r="N944" s="19"/>
      <c r="O944" s="19" t="e">
        <v>#VALUE!</v>
      </c>
      <c r="P944" s="20" t="str">
        <f t="shared" si="15"/>
        <v/>
      </c>
      <c r="Q944" s="234" t="str">
        <f>HYPERLINK("http://kameyamarekihaku.jp/raikan_demae/140806_higasi_syo.html","東小5，6年出前授業「平和学習」")</f>
        <v>東小5，6年出前授業「平和学習」</v>
      </c>
      <c r="R944" s="90"/>
    </row>
    <row r="945" spans="1:18" s="6" customFormat="1" ht="40.5" customHeight="1" x14ac:dyDescent="0.15">
      <c r="A945" s="90"/>
      <c r="B945" s="90"/>
      <c r="C945" s="165"/>
      <c r="D945" s="165"/>
      <c r="E945" s="138"/>
      <c r="F945" s="165"/>
      <c r="G945" s="165"/>
      <c r="H945" s="90"/>
      <c r="I945" s="165"/>
      <c r="J945" s="90"/>
      <c r="K945" s="90"/>
      <c r="L945" s="101"/>
      <c r="M945" s="90"/>
      <c r="N945" s="19"/>
      <c r="O945" s="19" t="e">
        <v>#VALUE!</v>
      </c>
      <c r="P945" s="20" t="str">
        <f t="shared" si="15"/>
        <v/>
      </c>
      <c r="Q945" s="234" t="str">
        <f>HYPERLINK("http://kameyamarekihaku.jp/raikan_demae/131202_ida_syo.html","井田川小6年授業支援実践例「アジア・太平洋に広がる戦争」")</f>
        <v>井田川小6年授業支援実践例「アジア・太平洋に広がる戦争」</v>
      </c>
      <c r="R945" s="90"/>
    </row>
    <row r="946" spans="1:18" s="6" customFormat="1" ht="43.5" customHeight="1" x14ac:dyDescent="0.15">
      <c r="A946" s="90"/>
      <c r="B946" s="90"/>
      <c r="C946" s="165"/>
      <c r="D946" s="165"/>
      <c r="E946" s="138"/>
      <c r="F946" s="165"/>
      <c r="G946" s="165"/>
      <c r="H946" s="90"/>
      <c r="I946" s="165"/>
      <c r="J946" s="90"/>
      <c r="K946" s="90"/>
      <c r="L946" s="101"/>
      <c r="M946" s="90"/>
      <c r="N946" s="19"/>
      <c r="O946" s="19" t="e">
        <v>#VALUE!</v>
      </c>
      <c r="P946" s="20" t="str">
        <f t="shared" si="15"/>
        <v/>
      </c>
      <c r="Q946" s="234" t="str">
        <f>HYPERLINK("http://kameyamarekihaku.jp/raikan_demae/130710_kame_tyu.html","亀中3年授業支援実践例「第二次世界大戦と日本」")</f>
        <v>亀中3年授業支援実践例「第二次世界大戦と日本」</v>
      </c>
      <c r="R946" s="90"/>
    </row>
    <row r="947" spans="1:18" s="6" customFormat="1" ht="29.25" customHeight="1" x14ac:dyDescent="0.15">
      <c r="A947" s="91"/>
      <c r="B947" s="91"/>
      <c r="C947" s="169"/>
      <c r="D947" s="169"/>
      <c r="E947" s="153"/>
      <c r="F947" s="169"/>
      <c r="G947" s="169"/>
      <c r="H947" s="91"/>
      <c r="I947" s="169"/>
      <c r="J947" s="91"/>
      <c r="K947" s="91"/>
      <c r="L947" s="235"/>
      <c r="M947" s="91"/>
      <c r="N947" s="29"/>
      <c r="O947" s="29" t="e">
        <v>#VALUE!</v>
      </c>
      <c r="P947" s="30" t="str">
        <f t="shared" si="15"/>
        <v/>
      </c>
      <c r="Q947" s="236" t="str">
        <f>HYPERLINK("http://kameyamarekihaku.jp/yane_no_nai/jissen_rei/nishi.html","西小5，6年出前授業実践例「平和学習」")</f>
        <v>西小5，6年出前授業実践例「平和学習」</v>
      </c>
      <c r="R947" s="91"/>
    </row>
    <row r="948" spans="1:18" s="6" customFormat="1" ht="28.5" customHeight="1" x14ac:dyDescent="0.15">
      <c r="A948" s="120" t="s">
        <v>2375</v>
      </c>
      <c r="B948" s="120">
        <v>20</v>
      </c>
      <c r="C948" s="175" t="s">
        <v>2639</v>
      </c>
      <c r="D948" s="175">
        <v>1942</v>
      </c>
      <c r="E948" s="144" t="s">
        <v>20</v>
      </c>
      <c r="F948" s="175"/>
      <c r="G948" s="175" t="s">
        <v>2643</v>
      </c>
      <c r="H948" s="120" t="s">
        <v>464</v>
      </c>
      <c r="I948" s="175" t="s">
        <v>1833</v>
      </c>
      <c r="J948" s="120" t="s">
        <v>2644</v>
      </c>
      <c r="K948" s="120"/>
      <c r="L948" s="120"/>
      <c r="M948" s="120"/>
      <c r="N948" s="12"/>
      <c r="O948" s="12" t="e">
        <v>#VALUE!</v>
      </c>
      <c r="P948" s="13" t="str">
        <f t="shared" si="15"/>
        <v/>
      </c>
      <c r="Q948" s="192"/>
      <c r="R948" s="120" t="s">
        <v>2645</v>
      </c>
    </row>
    <row r="949" spans="1:18" s="6" customFormat="1" ht="15" customHeight="1" x14ac:dyDescent="0.15">
      <c r="A949" s="142" t="s">
        <v>2375</v>
      </c>
      <c r="B949" s="142">
        <v>20</v>
      </c>
      <c r="C949" s="143" t="s">
        <v>2646</v>
      </c>
      <c r="D949" s="143">
        <v>1943</v>
      </c>
      <c r="E949" s="144" t="s">
        <v>20</v>
      </c>
      <c r="F949" s="175"/>
      <c r="G949" s="175" t="s">
        <v>2647</v>
      </c>
      <c r="H949" s="120" t="s">
        <v>40</v>
      </c>
      <c r="I949" s="175"/>
      <c r="J949" s="120"/>
      <c r="K949" s="120" t="s">
        <v>2648</v>
      </c>
      <c r="L949" s="120" t="s">
        <v>2649</v>
      </c>
      <c r="M949" s="120"/>
      <c r="N949" s="12"/>
      <c r="O949" s="12" t="e">
        <v>#VALUE!</v>
      </c>
      <c r="P949" s="13" t="str">
        <f t="shared" si="15"/>
        <v/>
      </c>
      <c r="Q949" s="192"/>
      <c r="R949" s="142" t="s">
        <v>2371</v>
      </c>
    </row>
    <row r="950" spans="1:18" s="139" customFormat="1" ht="55.5" customHeight="1" x14ac:dyDescent="0.15">
      <c r="A950" s="142" t="s">
        <v>2375</v>
      </c>
      <c r="B950" s="142">
        <v>20</v>
      </c>
      <c r="C950" s="143" t="s">
        <v>2646</v>
      </c>
      <c r="D950" s="143">
        <v>1943</v>
      </c>
      <c r="E950" s="144" t="s">
        <v>20</v>
      </c>
      <c r="F950" s="143"/>
      <c r="G950" s="143" t="s">
        <v>2650</v>
      </c>
      <c r="H950" s="142" t="s">
        <v>250</v>
      </c>
      <c r="I950" s="143" t="s">
        <v>2247</v>
      </c>
      <c r="J950" s="142" t="s">
        <v>2586</v>
      </c>
      <c r="K950" s="142"/>
      <c r="L950" s="142"/>
      <c r="M950" s="142"/>
      <c r="N950" s="23"/>
      <c r="O950" s="23" t="e">
        <v>#VALUE!</v>
      </c>
      <c r="P950" s="24" t="str">
        <f t="shared" si="15"/>
        <v/>
      </c>
      <c r="Q950" s="25" t="str">
        <f>HYPERLINK("http:/kameyamarekihaku.jp/sisi/RekisiHP/kingendai/quiz/school/schoo01l.html","市史近代・現代ページ 学校クイズ")</f>
        <v>市史近代・現代ページ 学校クイズ</v>
      </c>
      <c r="R950" s="142" t="s">
        <v>2651</v>
      </c>
    </row>
    <row r="951" spans="1:18" s="139" customFormat="1" ht="31.7" customHeight="1" x14ac:dyDescent="0.15">
      <c r="A951" s="142" t="s">
        <v>2375</v>
      </c>
      <c r="B951" s="142">
        <v>20</v>
      </c>
      <c r="C951" s="143" t="s">
        <v>2646</v>
      </c>
      <c r="D951" s="143">
        <v>1943</v>
      </c>
      <c r="E951" s="144" t="s">
        <v>20</v>
      </c>
      <c r="F951" s="143"/>
      <c r="G951" s="143" t="s">
        <v>2652</v>
      </c>
      <c r="H951" s="142" t="s">
        <v>250</v>
      </c>
      <c r="I951" s="143" t="s">
        <v>2247</v>
      </c>
      <c r="J951" s="142" t="s">
        <v>2653</v>
      </c>
      <c r="K951" s="142"/>
      <c r="L951" s="142"/>
      <c r="M951" s="142"/>
      <c r="N951" s="12" t="s">
        <v>2641</v>
      </c>
      <c r="O951" s="12" t="s">
        <v>2552</v>
      </c>
      <c r="P951" s="13" t="str">
        <f t="shared" si="15"/>
        <v>日本の歴史の中の亀山／近代の亀山／第２次世界大戦と亀山／戦時下のくらし</v>
      </c>
      <c r="Q951" s="158"/>
      <c r="R951" s="142" t="s">
        <v>2654</v>
      </c>
    </row>
    <row r="952" spans="1:18" s="139" customFormat="1" ht="43.5" customHeight="1" x14ac:dyDescent="0.15">
      <c r="A952" s="142" t="s">
        <v>2375</v>
      </c>
      <c r="B952" s="142">
        <v>20</v>
      </c>
      <c r="C952" s="143" t="s">
        <v>2646</v>
      </c>
      <c r="D952" s="143">
        <v>1943</v>
      </c>
      <c r="E952" s="144" t="s">
        <v>20</v>
      </c>
      <c r="F952" s="143"/>
      <c r="G952" s="143" t="s">
        <v>2655</v>
      </c>
      <c r="H952" s="142" t="s">
        <v>2656</v>
      </c>
      <c r="I952" s="143" t="s">
        <v>2657</v>
      </c>
      <c r="J952" s="142" t="s">
        <v>2658</v>
      </c>
      <c r="K952" s="142"/>
      <c r="L952" s="142"/>
      <c r="M952" s="142"/>
      <c r="N952" s="12" t="s">
        <v>2355</v>
      </c>
      <c r="O952" s="12" t="s">
        <v>2356</v>
      </c>
      <c r="P952" s="13" t="str">
        <f t="shared" si="15"/>
        <v>日本の歴史の中の亀山／現代の亀山／交通と通信／電話（電報電話局）</v>
      </c>
      <c r="Q952" s="158"/>
      <c r="R952" s="142" t="s">
        <v>2654</v>
      </c>
    </row>
    <row r="953" spans="1:18" s="139" customFormat="1" ht="42.6" customHeight="1" x14ac:dyDescent="0.15">
      <c r="A953" s="142" t="s">
        <v>2375</v>
      </c>
      <c r="B953" s="142">
        <v>20</v>
      </c>
      <c r="C953" s="143" t="s">
        <v>2646</v>
      </c>
      <c r="D953" s="143">
        <v>1943</v>
      </c>
      <c r="E953" s="144" t="s">
        <v>20</v>
      </c>
      <c r="F953" s="143"/>
      <c r="G953" s="143" t="s">
        <v>2659</v>
      </c>
      <c r="H953" s="142" t="s">
        <v>464</v>
      </c>
      <c r="I953" s="143" t="s">
        <v>2660</v>
      </c>
      <c r="J953" s="142" t="s">
        <v>2661</v>
      </c>
      <c r="K953" s="142"/>
      <c r="L953" s="142"/>
      <c r="M953" s="142"/>
      <c r="N953" s="23" t="s">
        <v>2641</v>
      </c>
      <c r="O953" s="23" t="s">
        <v>2552</v>
      </c>
      <c r="P953" s="24" t="str">
        <f t="shared" si="15"/>
        <v>日本の歴史の中の亀山／近代の亀山／第２次世界大戦と亀山／戦時下のくらし</v>
      </c>
      <c r="Q953" s="25" t="str">
        <f>HYPERLINK("http:/kameyamarekihaku.jp/sisi/tuusiHP_next/tuusi-index.html#kingendai0802","市史通史編 近代・現代第8章第2節")</f>
        <v>市史通史編 近代・現代第8章第2節</v>
      </c>
      <c r="R953" s="142" t="s">
        <v>2662</v>
      </c>
    </row>
    <row r="954" spans="1:18" s="139" customFormat="1" ht="31.7" customHeight="1" x14ac:dyDescent="0.15">
      <c r="A954" s="142" t="s">
        <v>2375</v>
      </c>
      <c r="B954" s="142">
        <v>20</v>
      </c>
      <c r="C954" s="143" t="s">
        <v>2646</v>
      </c>
      <c r="D954" s="143">
        <v>1943</v>
      </c>
      <c r="E954" s="144" t="s">
        <v>20</v>
      </c>
      <c r="F954" s="143"/>
      <c r="G954" s="175" t="s">
        <v>2663</v>
      </c>
      <c r="H954" s="142" t="s">
        <v>632</v>
      </c>
      <c r="I954" s="143" t="s">
        <v>2664</v>
      </c>
      <c r="J954" s="142" t="s">
        <v>2665</v>
      </c>
      <c r="K954" s="142"/>
      <c r="L954" s="142"/>
      <c r="M954" s="142"/>
      <c r="N954" s="12"/>
      <c r="O954" s="12" t="e">
        <v>#VALUE!</v>
      </c>
      <c r="P954" s="13" t="str">
        <f t="shared" si="15"/>
        <v/>
      </c>
      <c r="Q954" s="158"/>
      <c r="R954" s="142" t="s">
        <v>2666</v>
      </c>
    </row>
    <row r="955" spans="1:18" s="6" customFormat="1" ht="43.5" customHeight="1" x14ac:dyDescent="0.15">
      <c r="A955" s="120" t="s">
        <v>2375</v>
      </c>
      <c r="B955" s="120">
        <v>20</v>
      </c>
      <c r="C955" s="175" t="s">
        <v>2667</v>
      </c>
      <c r="D955" s="175">
        <v>1944</v>
      </c>
      <c r="E955" s="144" t="s">
        <v>20</v>
      </c>
      <c r="F955" s="175"/>
      <c r="G955" s="196" t="s">
        <v>2668</v>
      </c>
      <c r="H955" s="120" t="s">
        <v>199</v>
      </c>
      <c r="I955" s="175" t="s">
        <v>200</v>
      </c>
      <c r="J955" s="135" t="s">
        <v>2669</v>
      </c>
      <c r="K955" s="120"/>
      <c r="L955" s="120"/>
      <c r="M955" s="22" t="str">
        <f>HYPERLINK("http://kameyamarekihaku.jp/sisi/koukoHP/archives/seki_navy/01/01-01/sekinav0101-01.html","鈴鹿海軍工廠関工場跡")</f>
        <v>鈴鹿海軍工廠関工場跡</v>
      </c>
      <c r="N955" s="29" t="s">
        <v>2670</v>
      </c>
      <c r="O955" s="29" t="s">
        <v>2671</v>
      </c>
      <c r="P955" s="30" t="str">
        <f t="shared" si="15"/>
        <v>日本の歴史の中の亀山／近代の亀山／第２次世界大戦と亀山／防空工場（地下壕）</v>
      </c>
      <c r="Q955" s="10" t="str">
        <f>HYPERLINK("http:/kameyamarekihaku.jp/sisi/KoukoHP/iseki.html","市史考古編遺跡一覧N0.70")</f>
        <v>市史考古編遺跡一覧N0.70</v>
      </c>
      <c r="R955" s="120" t="s">
        <v>2672</v>
      </c>
    </row>
    <row r="956" spans="1:18" s="6" customFormat="1" ht="42" customHeight="1" x14ac:dyDescent="0.15">
      <c r="A956" s="120" t="s">
        <v>2375</v>
      </c>
      <c r="B956" s="120">
        <v>20</v>
      </c>
      <c r="C956" s="175" t="s">
        <v>2667</v>
      </c>
      <c r="D956" s="175">
        <v>1944</v>
      </c>
      <c r="E956" s="144" t="s">
        <v>20</v>
      </c>
      <c r="F956" s="175"/>
      <c r="G956" s="175" t="s">
        <v>2673</v>
      </c>
      <c r="H956" s="120" t="s">
        <v>250</v>
      </c>
      <c r="I956" s="175" t="s">
        <v>2247</v>
      </c>
      <c r="J956" s="120" t="s">
        <v>2336</v>
      </c>
      <c r="K956" s="120"/>
      <c r="L956" s="120"/>
      <c r="M956" s="120"/>
      <c r="N956" s="12" t="s">
        <v>2551</v>
      </c>
      <c r="O956" s="12" t="s">
        <v>2552</v>
      </c>
      <c r="P956" s="13" t="str">
        <f t="shared" si="15"/>
        <v>日本の歴史の中の亀山／近代の亀山／第２次世界大戦と亀山／戦時下のくらし</v>
      </c>
      <c r="Q956" s="192"/>
      <c r="R956" s="142" t="s">
        <v>2365</v>
      </c>
    </row>
    <row r="957" spans="1:18" s="6" customFormat="1" ht="36.75" customHeight="1" x14ac:dyDescent="0.15">
      <c r="A957" s="88" t="s">
        <v>2375</v>
      </c>
      <c r="B957" s="88">
        <v>20</v>
      </c>
      <c r="C957" s="163" t="s">
        <v>2667</v>
      </c>
      <c r="D957" s="163">
        <v>1944</v>
      </c>
      <c r="E957" s="147" t="s">
        <v>20</v>
      </c>
      <c r="F957" s="163"/>
      <c r="G957" s="349" t="s">
        <v>2674</v>
      </c>
      <c r="H957" s="88" t="s">
        <v>464</v>
      </c>
      <c r="I957" s="163" t="s">
        <v>2360</v>
      </c>
      <c r="J957" s="88" t="s">
        <v>2675</v>
      </c>
      <c r="K957" s="88"/>
      <c r="L957" s="88"/>
      <c r="M957" s="88"/>
      <c r="N957" s="310" t="s">
        <v>2676</v>
      </c>
      <c r="O957" s="310" t="s">
        <v>2671</v>
      </c>
      <c r="P957" s="311" t="str">
        <f t="shared" si="15"/>
        <v>日本の歴史の中の亀山／近代の亀山／第２次世界大戦と亀山／防空工場（地下壕）</v>
      </c>
      <c r="Q957" s="48" t="str">
        <f>HYPERLINK("http:/kameyamarekihaku.jp/sisi/tuusiHP_next/tuusi-index.html#kingendai0702","市史通史編 近代・現代第7章第2節")</f>
        <v>市史通史編 近代・現代第7章第2節</v>
      </c>
      <c r="R957" s="145" t="s">
        <v>2677</v>
      </c>
    </row>
    <row r="958" spans="1:18" s="67" customFormat="1" ht="32.25" customHeight="1" x14ac:dyDescent="0.15">
      <c r="A958" s="90"/>
      <c r="B958" s="90"/>
      <c r="C958" s="165"/>
      <c r="D958" s="165"/>
      <c r="E958" s="138"/>
      <c r="F958" s="165"/>
      <c r="G958" s="374"/>
      <c r="H958" s="90"/>
      <c r="I958" s="165"/>
      <c r="J958" s="90"/>
      <c r="K958" s="90"/>
      <c r="L958" s="226" t="str">
        <f>HYPERLINK("http://kameyamarekihaku.jp/yane_no_nai/unit_leaf/A-20.pdf","歴博貸出ユニットA－20")</f>
        <v>歴博貸出ユニットA－20</v>
      </c>
      <c r="M958" s="90"/>
      <c r="N958" s="306"/>
      <c r="O958" s="306" t="e">
        <v>#VALUE!</v>
      </c>
      <c r="P958" s="308" t="str">
        <f t="shared" si="15"/>
        <v/>
      </c>
      <c r="Q958" s="234" t="str">
        <f>HYPERLINK("http://kameyamarekihaku.jp/yane_no_nai/kawasaki_sidouan.pdf","川崎小6年地域素材の教材化実践例「北伊勢陸軍飛行場」")</f>
        <v>川崎小6年地域素材の教材化実践例「北伊勢陸軍飛行場」</v>
      </c>
      <c r="R958" s="136"/>
    </row>
    <row r="959" spans="1:18" s="6" customFormat="1" ht="15" customHeight="1" x14ac:dyDescent="0.15">
      <c r="A959" s="88" t="s">
        <v>2375</v>
      </c>
      <c r="B959" s="88">
        <v>20</v>
      </c>
      <c r="C959" s="163" t="s">
        <v>2667</v>
      </c>
      <c r="D959" s="163">
        <v>1944</v>
      </c>
      <c r="E959" s="147" t="s">
        <v>20</v>
      </c>
      <c r="F959" s="163"/>
      <c r="G959" s="349" t="s">
        <v>2678</v>
      </c>
      <c r="H959" s="88" t="s">
        <v>2679</v>
      </c>
      <c r="I959" s="163" t="s">
        <v>2680</v>
      </c>
      <c r="J959" s="16" t="str">
        <f>HYPERLINK("http://kameyamarekihaku.jp/sisi/koukoHP/archives/kamejyougennjyo/01/01-01/gi.html?pf=KJGNJY0101-01-048.JPG&amp;pn=%E8%A5%BF%E7%94%BA%E5%96%84%E5%B0%8E%E5%AF%BA","善導寺")</f>
        <v>善導寺</v>
      </c>
      <c r="K959" s="88"/>
      <c r="L959" s="321" t="str">
        <f>HYPERLINK("http:/kameyamarekihaku.jp/sisi/tuusiHP_next/kingendai/image/07/gi.htm?pf=3066sh007-09.JPG&amp;?pn=%E7%96%8E%E9%96%8B%E5%85%90%E7%AB%A5%E3%81%AE%E5%86%99%E7%9C%9F","画像史料：瑞光寺に疎開した東白壁国民学校五年生男子(写真)")</f>
        <v>画像史料：瑞光寺に疎開した東白壁国民学校五年生男子(写真)</v>
      </c>
      <c r="M959" s="88"/>
      <c r="N959" s="310" t="s">
        <v>2681</v>
      </c>
      <c r="O959" s="310" t="s">
        <v>2682</v>
      </c>
      <c r="P959" s="311" t="str">
        <f t="shared" si="15"/>
        <v>日本の歴史の中の亀山／近代の亀山／第２次世界大戦と亀山／集団学童疎開</v>
      </c>
      <c r="Q959" s="321" t="str">
        <f>HYPERLINK("http:/kameyamarekihaku.jp/sisi/tuusiHP_next/tuusi-index.html#kingendai0702","市史通史編 近代・現代第7章第2節")</f>
        <v>市史通史編 近代・現代第7章第2節</v>
      </c>
      <c r="R959" s="347" t="s">
        <v>2683</v>
      </c>
    </row>
    <row r="960" spans="1:18" s="6" customFormat="1" ht="15" customHeight="1" x14ac:dyDescent="0.15">
      <c r="A960" s="90"/>
      <c r="B960" s="90"/>
      <c r="C960" s="165"/>
      <c r="D960" s="165"/>
      <c r="E960" s="138"/>
      <c r="F960" s="165"/>
      <c r="G960" s="350"/>
      <c r="H960" s="90"/>
      <c r="I960" s="165"/>
      <c r="J960" s="27" t="str">
        <f>HYPERLINK("http://kameyamarekihaku.jp/sisi/koukoHP/archives/kamejyougennjyo/01/01-01/gi.html?pf=KJGNJY0101-01-060.JPG&amp;pn=%E6%A2%85%E5%B7%8C%E5%AF%BA","梅巌寺")</f>
        <v>梅巌寺</v>
      </c>
      <c r="K960" s="90"/>
      <c r="L960" s="344"/>
      <c r="M960" s="90"/>
      <c r="N960" s="317"/>
      <c r="O960" s="317" t="e">
        <v>#VALUE!</v>
      </c>
      <c r="P960" s="318" t="str">
        <f t="shared" si="15"/>
        <v/>
      </c>
      <c r="Q960" s="344"/>
      <c r="R960" s="332"/>
    </row>
    <row r="961" spans="1:18" s="6" customFormat="1" ht="15" customHeight="1" x14ac:dyDescent="0.15">
      <c r="A961" s="90"/>
      <c r="B961" s="90"/>
      <c r="C961" s="165"/>
      <c r="D961" s="165"/>
      <c r="E961" s="138"/>
      <c r="F961" s="165"/>
      <c r="G961" s="350"/>
      <c r="H961" s="90"/>
      <c r="I961" s="165"/>
      <c r="J961" s="90" t="s">
        <v>2684</v>
      </c>
      <c r="K961" s="90"/>
      <c r="L961" s="90"/>
      <c r="M961" s="90"/>
      <c r="N961" s="317"/>
      <c r="O961" s="317" t="e">
        <v>#VALUE!</v>
      </c>
      <c r="P961" s="318" t="str">
        <f t="shared" si="15"/>
        <v/>
      </c>
      <c r="Q961" s="90"/>
      <c r="R961" s="332"/>
    </row>
    <row r="962" spans="1:18" s="6" customFormat="1" ht="15" customHeight="1" x14ac:dyDescent="0.15">
      <c r="A962" s="90"/>
      <c r="B962" s="90"/>
      <c r="C962" s="165"/>
      <c r="D962" s="165"/>
      <c r="E962" s="138"/>
      <c r="F962" s="165"/>
      <c r="G962" s="350"/>
      <c r="H962" s="90"/>
      <c r="I962" s="165"/>
      <c r="J962" s="27" t="str">
        <f>HYPERLINK("http://kameyamarekihaku.jp/sisi/koukoHP/archives/kamejyougennjyo/01/01-01/gi.html?pf=KJGNJY0101-01-011.JPG&amp;pn=%E6%9D%B1%E7%94%BA%E7%A6%8F%E6%B3%89%E5%AF%BA%E5%B1%B1%E9%96%80","福泉寺")</f>
        <v>福泉寺</v>
      </c>
      <c r="K962" s="90"/>
      <c r="L962" s="90"/>
      <c r="M962" s="90"/>
      <c r="N962" s="176"/>
      <c r="O962" s="177" t="e">
        <v>#VALUE!</v>
      </c>
      <c r="P962" s="237" t="str">
        <f t="shared" si="15"/>
        <v/>
      </c>
      <c r="Q962" s="90"/>
      <c r="R962" s="332"/>
    </row>
    <row r="963" spans="1:18" s="6" customFormat="1" ht="12.75" customHeight="1" x14ac:dyDescent="0.15">
      <c r="A963" s="91"/>
      <c r="B963" s="91"/>
      <c r="C963" s="169"/>
      <c r="D963" s="169"/>
      <c r="E963" s="153"/>
      <c r="F963" s="165"/>
      <c r="G963" s="374"/>
      <c r="H963" s="90"/>
      <c r="I963" s="165" t="s">
        <v>2685</v>
      </c>
      <c r="J963" s="18" t="str">
        <f>HYPERLINK("http://kameyamarekihaku.jp/sisi/koukoHP/archives/kamejyougennjyo/01/01-01/gi.html?pf=KJGNJY0101-01-013.JPG&amp;pn=%E6%9D%B1%E7%94%BA%E6%B3%95%E5%9B%A0%E5%AF%BA","法因寺")</f>
        <v>法因寺</v>
      </c>
      <c r="K963" s="90"/>
      <c r="L963" s="90"/>
      <c r="M963" s="90"/>
      <c r="N963" s="19"/>
      <c r="O963" s="19" t="e">
        <v>#VALUE!</v>
      </c>
      <c r="P963" s="20" t="str">
        <f t="shared" si="15"/>
        <v/>
      </c>
      <c r="Q963" s="49"/>
      <c r="R963" s="348"/>
    </row>
    <row r="964" spans="1:18" s="6" customFormat="1" ht="29.25" customHeight="1" x14ac:dyDescent="0.15">
      <c r="A964" s="120" t="s">
        <v>2375</v>
      </c>
      <c r="B964" s="120">
        <v>20</v>
      </c>
      <c r="C964" s="175" t="s">
        <v>2667</v>
      </c>
      <c r="D964" s="175">
        <v>1944</v>
      </c>
      <c r="E964" s="144" t="s">
        <v>20</v>
      </c>
      <c r="F964" s="175"/>
      <c r="G964" s="175" t="s">
        <v>2686</v>
      </c>
      <c r="H964" s="120"/>
      <c r="I964" s="175"/>
      <c r="J964" s="120"/>
      <c r="K964" s="120"/>
      <c r="L964" s="120"/>
      <c r="M964" s="120"/>
      <c r="N964" s="23"/>
      <c r="O964" s="23" t="e">
        <v>#VALUE!</v>
      </c>
      <c r="P964" s="24" t="str">
        <f t="shared" si="15"/>
        <v/>
      </c>
      <c r="Q964" s="47" t="str">
        <f>HYPERLINK("http://kameyamarekihaku.jp/sisi/RekisiHP/kingendai/saigai/saigai-showa/saigai-showa-23.html","市史近代・現代ページ　亀山の災害　")</f>
        <v>市史近代・現代ページ　亀山の災害　</v>
      </c>
      <c r="R964" s="142" t="s">
        <v>2687</v>
      </c>
    </row>
    <row r="965" spans="1:18" s="6" customFormat="1" ht="38.25" customHeight="1" x14ac:dyDescent="0.15">
      <c r="A965" s="120" t="s">
        <v>2375</v>
      </c>
      <c r="B965" s="120">
        <v>20</v>
      </c>
      <c r="C965" s="175" t="s">
        <v>2667</v>
      </c>
      <c r="D965" s="175">
        <v>1944</v>
      </c>
      <c r="E965" s="144" t="s">
        <v>20</v>
      </c>
      <c r="F965" s="175"/>
      <c r="G965" s="175" t="s">
        <v>2688</v>
      </c>
      <c r="H965" s="120" t="s">
        <v>2131</v>
      </c>
      <c r="I965" s="175" t="s">
        <v>2689</v>
      </c>
      <c r="J965" s="120" t="s">
        <v>2690</v>
      </c>
      <c r="K965" s="120"/>
      <c r="L965" s="120"/>
      <c r="M965" s="120"/>
      <c r="N965" s="12" t="s">
        <v>2355</v>
      </c>
      <c r="O965" s="12" t="s">
        <v>2356</v>
      </c>
      <c r="P965" s="13" t="str">
        <f t="shared" ref="P965:P1028" si="16">IFERROR(HYPERLINK(O965,N965),"")</f>
        <v>日本の歴史の中の亀山／現代の亀山／交通と通信／電話（電報電話局）</v>
      </c>
      <c r="Q965" s="192"/>
      <c r="R965" s="142" t="s">
        <v>2371</v>
      </c>
    </row>
    <row r="966" spans="1:18" s="6" customFormat="1" ht="28.5" customHeight="1" x14ac:dyDescent="0.15">
      <c r="A966" s="120" t="s">
        <v>2375</v>
      </c>
      <c r="B966" s="120">
        <v>20</v>
      </c>
      <c r="C966" s="175" t="s">
        <v>2667</v>
      </c>
      <c r="D966" s="175">
        <v>1944</v>
      </c>
      <c r="E966" s="144" t="s">
        <v>20</v>
      </c>
      <c r="F966" s="175"/>
      <c r="G966" s="175" t="s">
        <v>2691</v>
      </c>
      <c r="H966" s="120" t="s">
        <v>2692</v>
      </c>
      <c r="I966" s="175" t="s">
        <v>2367</v>
      </c>
      <c r="J966" s="120" t="s">
        <v>2693</v>
      </c>
      <c r="K966" s="120"/>
      <c r="L966" s="120"/>
      <c r="M966" s="120"/>
      <c r="N966" s="12"/>
      <c r="O966" s="12" t="e">
        <v>#VALUE!</v>
      </c>
      <c r="P966" s="13" t="str">
        <f t="shared" si="16"/>
        <v/>
      </c>
      <c r="Q966" s="192"/>
      <c r="R966" s="142" t="s">
        <v>2371</v>
      </c>
    </row>
    <row r="967" spans="1:18" s="139" customFormat="1" ht="28.5" customHeight="1" x14ac:dyDescent="0.15">
      <c r="A967" s="142" t="s">
        <v>2375</v>
      </c>
      <c r="B967" s="142">
        <v>20</v>
      </c>
      <c r="C967" s="143" t="s">
        <v>2694</v>
      </c>
      <c r="D967" s="143">
        <v>1945</v>
      </c>
      <c r="E967" s="144" t="s">
        <v>20</v>
      </c>
      <c r="F967" s="143"/>
      <c r="G967" s="143" t="s">
        <v>2695</v>
      </c>
      <c r="H967" s="142" t="s">
        <v>464</v>
      </c>
      <c r="I967" s="143" t="s">
        <v>2696</v>
      </c>
      <c r="J967" s="142" t="s">
        <v>2697</v>
      </c>
      <c r="K967" s="142"/>
      <c r="L967" s="142"/>
      <c r="M967" s="142"/>
      <c r="N967" s="23" t="s">
        <v>2670</v>
      </c>
      <c r="O967" s="23" t="s">
        <v>2671</v>
      </c>
      <c r="P967" s="24" t="str">
        <f t="shared" si="16"/>
        <v>日本の歴史の中の亀山／近代の亀山／第２次世界大戦と亀山／防空工場（地下壕）</v>
      </c>
      <c r="Q967" s="25" t="str">
        <f>HYPERLINK("http:/kameyamarekihaku.jp/sisi/tuusiHP_next/tuusi-index.html#kingendai0702","市史通史編 近代・現代第7章第2節")</f>
        <v>市史通史編 近代・現代第7章第2節</v>
      </c>
      <c r="R967" s="142" t="s">
        <v>2677</v>
      </c>
    </row>
    <row r="968" spans="1:18" s="139" customFormat="1" ht="43.5" customHeight="1" x14ac:dyDescent="0.15">
      <c r="A968" s="142" t="s">
        <v>2375</v>
      </c>
      <c r="B968" s="142">
        <v>20</v>
      </c>
      <c r="C968" s="143" t="s">
        <v>2694</v>
      </c>
      <c r="D968" s="143">
        <v>1945</v>
      </c>
      <c r="E968" s="144" t="s">
        <v>20</v>
      </c>
      <c r="F968" s="143"/>
      <c r="G968" s="143" t="s">
        <v>2698</v>
      </c>
      <c r="H968" s="142" t="s">
        <v>464</v>
      </c>
      <c r="I968" s="143" t="s">
        <v>2256</v>
      </c>
      <c r="J968" s="142" t="s">
        <v>2699</v>
      </c>
      <c r="K968" s="142"/>
      <c r="L968" s="142"/>
      <c r="M968" s="142"/>
      <c r="N968" s="12" t="s">
        <v>2700</v>
      </c>
      <c r="O968" s="12" t="s">
        <v>2421</v>
      </c>
      <c r="P968" s="13" t="str">
        <f t="shared" si="16"/>
        <v>日本の歴史の中の亀山／現代の亀山／教育と医療・福祉／幼稚園</v>
      </c>
      <c r="Q968" s="158"/>
      <c r="R968" s="142" t="s">
        <v>2701</v>
      </c>
    </row>
    <row r="969" spans="1:18" s="139" customFormat="1" ht="15" customHeight="1" x14ac:dyDescent="0.15">
      <c r="A969" s="145" t="s">
        <v>2375</v>
      </c>
      <c r="B969" s="375">
        <v>20</v>
      </c>
      <c r="C969" s="377" t="s">
        <v>2694</v>
      </c>
      <c r="D969" s="377">
        <v>1945</v>
      </c>
      <c r="E969" s="380" t="s">
        <v>20</v>
      </c>
      <c r="F969" s="146"/>
      <c r="G969" s="345" t="s">
        <v>2702</v>
      </c>
      <c r="H969" s="88" t="s">
        <v>2679</v>
      </c>
      <c r="I969" s="146" t="s">
        <v>2703</v>
      </c>
      <c r="J969" s="71" t="str">
        <f>HYPERLINK("http://kameyamarekihaku.jp/sisi/koukoHP/archives/kamejyougennjyo/01/01-01/gi.html?pf=KJGNJY0101-01-031.JPG&amp;pn=%E8%A5%BF%E7%94%BA%E9%81%8D%E7%85%A7%E5%AF%BA","遍照寺")</f>
        <v>遍照寺</v>
      </c>
      <c r="K969" s="145"/>
      <c r="L969" s="16" t="str">
        <f>HYPERLINK("http:/kameyamarekihaku.jp/sisi/tuusiHP_next/kingendai/image/07/gi.htm?pf=3067sh007-10.JPG&amp;?pn=%E7%96%8E%E9%96%8B%E5%85%90%E7%AB%A5%E3%81%8C%E3%81%8B%E3%81%84%E3%81%9F%E7%B5%B5%E6%97%A5%E8%A8%98","画像史料：疎開児童がかいた絵日記")</f>
        <v>画像史料：疎開児童がかいた絵日記</v>
      </c>
      <c r="M969" s="145"/>
      <c r="N969" s="342" t="s">
        <v>2704</v>
      </c>
      <c r="O969" s="342" t="s">
        <v>2682</v>
      </c>
      <c r="P969" s="340" t="str">
        <f t="shared" si="16"/>
        <v>日本の歴史の中の亀山／近代の亀山／第２次世界大戦と亀山／集団学童疎開</v>
      </c>
      <c r="Q969" s="145"/>
      <c r="R969" s="347" t="s">
        <v>2705</v>
      </c>
    </row>
    <row r="970" spans="1:18" s="139" customFormat="1" ht="14.25" customHeight="1" x14ac:dyDescent="0.15">
      <c r="A970" s="136"/>
      <c r="B970" s="376"/>
      <c r="C970" s="378"/>
      <c r="D970" s="378"/>
      <c r="E970" s="381"/>
      <c r="F970" s="137"/>
      <c r="G970" s="346"/>
      <c r="H970" s="90"/>
      <c r="I970" s="137" t="s">
        <v>2685</v>
      </c>
      <c r="J970" s="27" t="str">
        <f>HYPERLINK("http://kameyamarekihaku.jp/sisi/koukoHP/archives/kamejyougennjyo/01/01-01/gi.html?pf=KJGNJY0101-01-011.JPG&amp;pn=%E6%9D%B1%E7%94%BA%E7%A6%8F%E6%B3%89%E5%AF%BA%E5%B1%B1%E9%96%80","福泉寺")</f>
        <v>福泉寺</v>
      </c>
      <c r="K970" s="136"/>
      <c r="L970" s="136"/>
      <c r="M970" s="136"/>
      <c r="N970" s="319"/>
      <c r="O970" s="319" t="e">
        <v>#VALUE!</v>
      </c>
      <c r="P970" s="320" t="str">
        <f t="shared" si="16"/>
        <v/>
      </c>
      <c r="Q970" s="79"/>
      <c r="R970" s="332"/>
    </row>
    <row r="971" spans="1:18" s="139" customFormat="1" ht="14.25" customHeight="1" x14ac:dyDescent="0.15">
      <c r="A971" s="151"/>
      <c r="B971" s="301"/>
      <c r="C971" s="379"/>
      <c r="D971" s="379"/>
      <c r="E971" s="382"/>
      <c r="F971" s="152"/>
      <c r="G971" s="353"/>
      <c r="H971" s="91"/>
      <c r="I971" s="152"/>
      <c r="J971" s="18" t="str">
        <f>HYPERLINK("http://kameyamarekihaku.jp/sisi/koukoHP/archives/kamejyougennjyo/01/01-01/gi.html?pf=KJGNJY0101-01-013.JPG&amp;pn=%E6%9D%B1%E7%94%BA%E6%B3%95%E5%9B%A0%E5%AF%BA","法因寺")</f>
        <v>法因寺</v>
      </c>
      <c r="K971" s="151"/>
      <c r="L971" s="151"/>
      <c r="M971" s="151"/>
      <c r="N971" s="86"/>
      <c r="O971" s="86" t="e">
        <v>#VALUE!</v>
      </c>
      <c r="P971" s="87" t="str">
        <f t="shared" si="16"/>
        <v/>
      </c>
      <c r="Q971" s="157"/>
      <c r="R971" s="348"/>
    </row>
    <row r="972" spans="1:18" s="139" customFormat="1" ht="27" customHeight="1" x14ac:dyDescent="0.15">
      <c r="A972" s="145" t="s">
        <v>2375</v>
      </c>
      <c r="B972" s="145">
        <v>20</v>
      </c>
      <c r="C972" s="146" t="s">
        <v>2694</v>
      </c>
      <c r="D972" s="146">
        <v>1945</v>
      </c>
      <c r="E972" s="147" t="s">
        <v>59</v>
      </c>
      <c r="F972" s="146"/>
      <c r="G972" s="146" t="s">
        <v>2706</v>
      </c>
      <c r="H972" s="145" t="s">
        <v>2707</v>
      </c>
      <c r="I972" s="146" t="s">
        <v>2708</v>
      </c>
      <c r="J972" s="145"/>
      <c r="K972" s="145"/>
      <c r="L972" s="145" t="s">
        <v>2709</v>
      </c>
      <c r="M972" s="145"/>
      <c r="N972" s="310" t="s">
        <v>2710</v>
      </c>
      <c r="O972" s="310" t="s">
        <v>2711</v>
      </c>
      <c r="P972" s="311" t="str">
        <f t="shared" si="16"/>
        <v>日本の歴史の中の亀山／近代の亀山／第２次世界大戦と亀山／機関車襲撃</v>
      </c>
      <c r="Q972" s="321" t="str">
        <f>HYPERLINK("http:/kameyamarekihaku.jp/sisi/tuusiHP_next/tuusi-index.html#kingendai0702","市史通史編 近代・現代第7章第2節")</f>
        <v>市史通史編 近代・現代第7章第2節</v>
      </c>
      <c r="R972" s="347" t="s">
        <v>2712</v>
      </c>
    </row>
    <row r="973" spans="1:18" s="139" customFormat="1" ht="30.75" customHeight="1" x14ac:dyDescent="0.15">
      <c r="A973" s="136"/>
      <c r="B973" s="136"/>
      <c r="C973" s="137"/>
      <c r="D973" s="137"/>
      <c r="E973" s="138"/>
      <c r="F973" s="137"/>
      <c r="G973" s="137"/>
      <c r="H973" s="136"/>
      <c r="I973" s="137"/>
      <c r="J973" s="136"/>
      <c r="K973" s="136"/>
      <c r="L973" s="27" t="str">
        <f>HYPERLINK("http:/kameyamarekihaku.jp/sisi/tuusiHP_next/kingendai/image/07/gi.htm?pf=3068zu007-01.JPG&amp;?pn=%E7%B1%B3%E8%BB%8D%E6%A9%9F%E6%8E%A8%E5%AE%9A%E8%88%AA%E8%B7%A1","1945年8月2日列車襲撃時の米軍機推定航跡")</f>
        <v>1945年8月2日列車襲撃時の米軍機推定航跡</v>
      </c>
      <c r="M973" s="136"/>
      <c r="N973" s="317"/>
      <c r="O973" s="317" t="e">
        <v>#VALUE!</v>
      </c>
      <c r="P973" s="318" t="str">
        <f t="shared" si="16"/>
        <v/>
      </c>
      <c r="Q973" s="344"/>
      <c r="R973" s="332"/>
    </row>
    <row r="974" spans="1:18" s="139" customFormat="1" ht="15.75" customHeight="1" x14ac:dyDescent="0.15">
      <c r="A974" s="136"/>
      <c r="B974" s="136"/>
      <c r="C974" s="137"/>
      <c r="D974" s="137"/>
      <c r="E974" s="138"/>
      <c r="F974" s="137"/>
      <c r="G974" s="137"/>
      <c r="H974" s="136"/>
      <c r="I974" s="137"/>
      <c r="J974" s="136"/>
      <c r="K974" s="136"/>
      <c r="L974" s="27" t="str">
        <f>HYPERLINK("http:/kameyamarekihaku.jp/sisi/tuusiHP_next/kingendai/image/07/gi.htm?pf=3069sh007-11.JPG&amp;?pn=%E5%A4%A9%E7%A5%9E%E7%94%BA%E4%B8%AD%E6%9D%91%E3%81%AE%E3%83%AC%E3%83%B3%E3%82%AC%E6%A9%8B","画像史料：北側で汽車が停止したレンガ橋")</f>
        <v>画像史料：北側で汽車が停止したレンガ橋</v>
      </c>
      <c r="M974" s="136"/>
      <c r="N974" s="176"/>
      <c r="O974" s="177" t="e">
        <v>#VALUE!</v>
      </c>
      <c r="P974" s="237" t="str">
        <f t="shared" si="16"/>
        <v/>
      </c>
      <c r="Q974" s="136"/>
      <c r="R974" s="332"/>
    </row>
    <row r="975" spans="1:18" s="139" customFormat="1" ht="20.25" customHeight="1" x14ac:dyDescent="0.15">
      <c r="A975" s="151"/>
      <c r="B975" s="151"/>
      <c r="C975" s="152"/>
      <c r="D975" s="152"/>
      <c r="E975" s="153"/>
      <c r="F975" s="152"/>
      <c r="G975" s="152"/>
      <c r="H975" s="151"/>
      <c r="I975" s="152"/>
      <c r="J975" s="151"/>
      <c r="K975" s="151"/>
      <c r="L975" s="27" t="str">
        <f>HYPERLINK("http:/kameyamarekihaku.jp/sisi/tuusiHP_next/kingendai/image/07/gi.htm?pf=3070sh007-12.JPG&amp;?pn=%20%E7%B1%B3%E8%BB%8D%E3%81%AE%E6%A9%9F%E9%8A%83%E5%BC%BE%E8%96%AC%E8%8E%A2%EF%BC%88%E4%B8%AD%E6%A0%B9%E5%BC%98%E6%AF%85%E6%B0%8F%E6%8F%90%E4%BE%9B%EF%BC%89","画像史料：機縦断薬莢")</f>
        <v>画像史料：機縦断薬莢</v>
      </c>
      <c r="M975" s="151"/>
      <c r="N975" s="176"/>
      <c r="O975" s="177" t="e">
        <v>#VALUE!</v>
      </c>
      <c r="P975" s="126" t="str">
        <f t="shared" si="16"/>
        <v/>
      </c>
      <c r="Q975" s="151"/>
      <c r="R975" s="348"/>
    </row>
    <row r="976" spans="1:18" s="139" customFormat="1" ht="28.5" customHeight="1" x14ac:dyDescent="0.15">
      <c r="A976" s="142" t="s">
        <v>2375</v>
      </c>
      <c r="B976" s="142">
        <v>20</v>
      </c>
      <c r="C976" s="143" t="s">
        <v>2694</v>
      </c>
      <c r="D976" s="143">
        <v>1945</v>
      </c>
      <c r="E976" s="144" t="s">
        <v>59</v>
      </c>
      <c r="F976" s="143" t="s">
        <v>2713</v>
      </c>
      <c r="G976" s="143"/>
      <c r="H976" s="142"/>
      <c r="I976" s="143"/>
      <c r="J976" s="142"/>
      <c r="K976" s="142"/>
      <c r="L976" s="142"/>
      <c r="M976" s="142"/>
      <c r="N976" s="12"/>
      <c r="O976" s="12" t="e">
        <v>#VALUE!</v>
      </c>
      <c r="P976" s="13" t="str">
        <f t="shared" si="16"/>
        <v/>
      </c>
      <c r="Q976" s="158"/>
      <c r="R976" s="142"/>
    </row>
    <row r="977" spans="1:18" s="139" customFormat="1" ht="43.5" customHeight="1" x14ac:dyDescent="0.15">
      <c r="A977" s="142" t="s">
        <v>2375</v>
      </c>
      <c r="B977" s="142">
        <v>20</v>
      </c>
      <c r="C977" s="143" t="s">
        <v>2694</v>
      </c>
      <c r="D977" s="143">
        <v>1945</v>
      </c>
      <c r="E977" s="144" t="s">
        <v>20</v>
      </c>
      <c r="F977" s="143"/>
      <c r="G977" s="143" t="s">
        <v>2714</v>
      </c>
      <c r="H977" s="120" t="s">
        <v>250</v>
      </c>
      <c r="I977" s="175" t="s">
        <v>2247</v>
      </c>
      <c r="J977" s="142" t="s">
        <v>2715</v>
      </c>
      <c r="K977" s="142"/>
      <c r="L977" s="142"/>
      <c r="M977" s="142"/>
      <c r="N977" s="12"/>
      <c r="O977" s="12" t="e">
        <v>#VALUE!</v>
      </c>
      <c r="P977" s="13" t="str">
        <f t="shared" si="16"/>
        <v/>
      </c>
      <c r="Q977" s="158"/>
      <c r="R977" s="142" t="s">
        <v>2365</v>
      </c>
    </row>
    <row r="978" spans="1:18" s="139" customFormat="1" ht="28.5" customHeight="1" x14ac:dyDescent="0.15">
      <c r="A978" s="142" t="s">
        <v>2375</v>
      </c>
      <c r="B978" s="142">
        <v>20</v>
      </c>
      <c r="C978" s="143" t="s">
        <v>2716</v>
      </c>
      <c r="D978" s="143"/>
      <c r="E978" s="144" t="s">
        <v>20</v>
      </c>
      <c r="F978" s="143" t="s">
        <v>2717</v>
      </c>
      <c r="G978" s="143"/>
      <c r="H978" s="142"/>
      <c r="I978" s="143"/>
      <c r="J978" s="142"/>
      <c r="K978" s="142"/>
      <c r="L978" s="142"/>
      <c r="M978" s="142"/>
      <c r="N978" s="12"/>
      <c r="O978" s="12" t="e">
        <v>#VALUE!</v>
      </c>
      <c r="P978" s="13" t="str">
        <f t="shared" si="16"/>
        <v/>
      </c>
      <c r="Q978" s="158"/>
      <c r="R978" s="142"/>
    </row>
    <row r="979" spans="1:18" s="139" customFormat="1" ht="15" customHeight="1" x14ac:dyDescent="0.15">
      <c r="A979" s="142" t="s">
        <v>2375</v>
      </c>
      <c r="B979" s="142">
        <v>20</v>
      </c>
      <c r="C979" s="143" t="s">
        <v>2716</v>
      </c>
      <c r="D979" s="143">
        <v>1946</v>
      </c>
      <c r="E979" s="144" t="s">
        <v>20</v>
      </c>
      <c r="F979" s="143" t="s">
        <v>2718</v>
      </c>
      <c r="G979" s="143"/>
      <c r="H979" s="142"/>
      <c r="I979" s="143"/>
      <c r="J979" s="142"/>
      <c r="K979" s="142"/>
      <c r="L979" s="142"/>
      <c r="M979" s="142"/>
      <c r="N979" s="12"/>
      <c r="O979" s="12" t="e">
        <v>#VALUE!</v>
      </c>
      <c r="P979" s="13" t="str">
        <f t="shared" si="16"/>
        <v/>
      </c>
      <c r="Q979" s="158"/>
      <c r="R979" s="142"/>
    </row>
    <row r="980" spans="1:18" s="139" customFormat="1" ht="35.25" customHeight="1" x14ac:dyDescent="0.15">
      <c r="A980" s="142" t="s">
        <v>2375</v>
      </c>
      <c r="B980" s="142">
        <v>20</v>
      </c>
      <c r="C980" s="143" t="s">
        <v>2716</v>
      </c>
      <c r="D980" s="143">
        <v>1946</v>
      </c>
      <c r="E980" s="144" t="s">
        <v>20</v>
      </c>
      <c r="F980" s="238"/>
      <c r="G980" s="143" t="s">
        <v>2719</v>
      </c>
      <c r="H980" s="142" t="s">
        <v>156</v>
      </c>
      <c r="I980" s="143" t="s">
        <v>2167</v>
      </c>
      <c r="J980" s="142" t="s">
        <v>2720</v>
      </c>
      <c r="K980" s="142"/>
      <c r="L980" s="226" t="str">
        <f>HYPERLINK("http://kameyamarekihaku.jp/yane_no_nai/unit_leaf/A-20.pdf","歴博貸出ユニットA－20")</f>
        <v>歴博貸出ユニットA－20</v>
      </c>
      <c r="M980" s="142"/>
      <c r="N980" s="19" t="s">
        <v>2721</v>
      </c>
      <c r="O980" s="19" t="s">
        <v>2637</v>
      </c>
      <c r="P980" s="20" t="str">
        <f t="shared" si="16"/>
        <v>日本の歴史の中の亀山／近代の亀山／第２次世界大戦と亀山／北伊勢飛行場</v>
      </c>
      <c r="Q980" s="234" t="str">
        <f>HYPERLINK("http://kameyamarekihaku.jp/yane_no_nai/kawasaki_sidouan.pdf","川崎小6年地域素材の教材化実践例「北伊勢陸軍飛行場」")</f>
        <v>川崎小6年地域素材の教材化実践例「北伊勢陸軍飛行場」</v>
      </c>
      <c r="R980" s="142" t="s">
        <v>2365</v>
      </c>
    </row>
    <row r="981" spans="1:18" s="139" customFormat="1" ht="28.5" customHeight="1" x14ac:dyDescent="0.15">
      <c r="A981" s="142" t="s">
        <v>2375</v>
      </c>
      <c r="B981" s="142">
        <v>20</v>
      </c>
      <c r="C981" s="143" t="s">
        <v>2716</v>
      </c>
      <c r="D981" s="143">
        <v>1946</v>
      </c>
      <c r="E981" s="144" t="s">
        <v>20</v>
      </c>
      <c r="F981" s="143"/>
      <c r="G981" s="143" t="s">
        <v>2722</v>
      </c>
      <c r="H981" s="142" t="s">
        <v>2656</v>
      </c>
      <c r="I981" s="143" t="s">
        <v>2723</v>
      </c>
      <c r="J981" s="142" t="s">
        <v>2724</v>
      </c>
      <c r="K981" s="142"/>
      <c r="L981" s="142"/>
      <c r="M981" s="142"/>
      <c r="N981" s="12" t="s">
        <v>2355</v>
      </c>
      <c r="O981" s="12" t="s">
        <v>2356</v>
      </c>
      <c r="P981" s="13" t="str">
        <f t="shared" si="16"/>
        <v>日本の歴史の中の亀山／現代の亀山／交通と通信／電話（電報電話局）</v>
      </c>
      <c r="Q981" s="158"/>
      <c r="R981" s="142" t="s">
        <v>2365</v>
      </c>
    </row>
    <row r="982" spans="1:18" s="139" customFormat="1" ht="15" customHeight="1" x14ac:dyDescent="0.15">
      <c r="A982" s="142" t="s">
        <v>2375</v>
      </c>
      <c r="B982" s="142">
        <v>20</v>
      </c>
      <c r="C982" s="143" t="s">
        <v>2716</v>
      </c>
      <c r="D982" s="143">
        <v>1946</v>
      </c>
      <c r="E982" s="144" t="s">
        <v>20</v>
      </c>
      <c r="F982" s="143"/>
      <c r="G982" s="143" t="s">
        <v>2725</v>
      </c>
      <c r="H982" s="142" t="s">
        <v>250</v>
      </c>
      <c r="I982" s="143" t="s">
        <v>1911</v>
      </c>
      <c r="J982" s="142" t="s">
        <v>2726</v>
      </c>
      <c r="K982" s="142"/>
      <c r="L982" s="142"/>
      <c r="M982" s="142"/>
      <c r="N982" s="12"/>
      <c r="O982" s="12" t="e">
        <v>#VALUE!</v>
      </c>
      <c r="P982" s="13" t="str">
        <f t="shared" si="16"/>
        <v/>
      </c>
      <c r="Q982" s="158"/>
      <c r="R982" s="142" t="s">
        <v>2727</v>
      </c>
    </row>
    <row r="983" spans="1:18" s="139" customFormat="1" ht="43.9" customHeight="1" x14ac:dyDescent="0.15">
      <c r="A983" s="142" t="s">
        <v>2375</v>
      </c>
      <c r="B983" s="142">
        <v>20</v>
      </c>
      <c r="C983" s="143" t="s">
        <v>2716</v>
      </c>
      <c r="D983" s="143">
        <v>1946</v>
      </c>
      <c r="E983" s="144" t="s">
        <v>20</v>
      </c>
      <c r="F983" s="143"/>
      <c r="G983" s="143" t="s">
        <v>2728</v>
      </c>
      <c r="H983" s="142" t="s">
        <v>464</v>
      </c>
      <c r="I983" s="143" t="s">
        <v>1911</v>
      </c>
      <c r="J983" s="142" t="s">
        <v>2729</v>
      </c>
      <c r="K983" s="142"/>
      <c r="L983" s="142"/>
      <c r="M983" s="142"/>
      <c r="N983" s="12" t="s">
        <v>2730</v>
      </c>
      <c r="O983" s="12" t="s">
        <v>2731</v>
      </c>
      <c r="P983" s="13" t="str">
        <f t="shared" si="16"/>
        <v>日本の歴史の中の亀山／現代の亀山／教育と医療・福祉／保育園</v>
      </c>
      <c r="Q983" s="158"/>
      <c r="R983" s="142" t="s">
        <v>2732</v>
      </c>
    </row>
    <row r="984" spans="1:18" s="139" customFormat="1" ht="31.5" customHeight="1" x14ac:dyDescent="0.15">
      <c r="A984" s="142" t="s">
        <v>2375</v>
      </c>
      <c r="B984" s="142">
        <v>20</v>
      </c>
      <c r="C984" s="143" t="s">
        <v>2716</v>
      </c>
      <c r="D984" s="143">
        <v>1946</v>
      </c>
      <c r="E984" s="144" t="s">
        <v>20</v>
      </c>
      <c r="F984" s="143"/>
      <c r="G984" s="143" t="s">
        <v>2733</v>
      </c>
      <c r="H984" s="142" t="s">
        <v>2707</v>
      </c>
      <c r="I984" s="143" t="s">
        <v>2607</v>
      </c>
      <c r="J984" s="142" t="s">
        <v>2734</v>
      </c>
      <c r="K984" s="142"/>
      <c r="L984" s="142"/>
      <c r="M984" s="142"/>
      <c r="N984" s="23"/>
      <c r="O984" s="23" t="e">
        <v>#VALUE!</v>
      </c>
      <c r="P984" s="24" t="str">
        <f t="shared" si="16"/>
        <v/>
      </c>
      <c r="Q984" s="25" t="str">
        <f>HYPERLINK("http:/kameyamarekihaku.jp/sisi/tuusiHP_next/tuusi-index.html#kingendai0802","市史通史編 近代・現代第8章第2節第3項")</f>
        <v>市史通史編 近代・現代第8章第2節第3項</v>
      </c>
      <c r="R984" s="142" t="s">
        <v>2727</v>
      </c>
    </row>
    <row r="985" spans="1:18" s="139" customFormat="1" ht="31.5" customHeight="1" x14ac:dyDescent="0.15">
      <c r="A985" s="142" t="s">
        <v>2375</v>
      </c>
      <c r="B985" s="142">
        <v>20</v>
      </c>
      <c r="C985" s="143" t="s">
        <v>2716</v>
      </c>
      <c r="D985" s="143">
        <v>1946</v>
      </c>
      <c r="E985" s="144" t="s">
        <v>20</v>
      </c>
      <c r="F985" s="143"/>
      <c r="G985" s="143" t="s">
        <v>2735</v>
      </c>
      <c r="H985" s="142" t="s">
        <v>1336</v>
      </c>
      <c r="I985" s="143" t="s">
        <v>2393</v>
      </c>
      <c r="J985" s="142" t="s">
        <v>2736</v>
      </c>
      <c r="K985" s="142"/>
      <c r="L985" s="142"/>
      <c r="M985" s="142"/>
      <c r="N985" s="74"/>
      <c r="O985" s="32" t="e">
        <v>#VALUE!</v>
      </c>
      <c r="P985" s="33" t="str">
        <f t="shared" si="16"/>
        <v/>
      </c>
      <c r="Q985" s="71" t="str">
        <f>HYPERLINK("http://kameyamarekihaku.jp/sisi/RekisiHP/kingendai/quiz/tatemono/tatemono.html","市史近代・現代ページ 建物クイズ")</f>
        <v>市史近代・現代ページ 建物クイズ</v>
      </c>
      <c r="R985" s="142" t="s">
        <v>2371</v>
      </c>
    </row>
    <row r="986" spans="1:18" s="139" customFormat="1" ht="28.5" customHeight="1" x14ac:dyDescent="0.15">
      <c r="A986" s="142" t="s">
        <v>2375</v>
      </c>
      <c r="B986" s="142">
        <v>20</v>
      </c>
      <c r="C986" s="143" t="s">
        <v>2716</v>
      </c>
      <c r="D986" s="143">
        <v>1946</v>
      </c>
      <c r="E986" s="144" t="s">
        <v>20</v>
      </c>
      <c r="F986" s="143"/>
      <c r="G986" s="143" t="s">
        <v>2737</v>
      </c>
      <c r="H986" s="142" t="s">
        <v>2561</v>
      </c>
      <c r="I986" s="175"/>
      <c r="J986" s="142" t="s">
        <v>2738</v>
      </c>
      <c r="K986" s="142"/>
      <c r="L986" s="142"/>
      <c r="M986" s="142"/>
      <c r="N986" s="12"/>
      <c r="O986" s="12" t="e">
        <v>#VALUE!</v>
      </c>
      <c r="P986" s="13" t="str">
        <f t="shared" si="16"/>
        <v/>
      </c>
      <c r="Q986" s="158"/>
      <c r="R986" s="142" t="s">
        <v>2371</v>
      </c>
    </row>
    <row r="987" spans="1:18" s="139" customFormat="1" ht="15" customHeight="1" x14ac:dyDescent="0.15">
      <c r="A987" s="142" t="s">
        <v>2375</v>
      </c>
      <c r="B987" s="142">
        <v>20</v>
      </c>
      <c r="C987" s="143" t="s">
        <v>2716</v>
      </c>
      <c r="D987" s="143">
        <v>1946</v>
      </c>
      <c r="E987" s="144" t="s">
        <v>20</v>
      </c>
      <c r="F987" s="143"/>
      <c r="G987" s="143" t="s">
        <v>2739</v>
      </c>
      <c r="H987" s="142" t="s">
        <v>2396</v>
      </c>
      <c r="I987" s="143" t="s">
        <v>2475</v>
      </c>
      <c r="J987" s="142" t="s">
        <v>2740</v>
      </c>
      <c r="K987" s="142"/>
      <c r="L987" s="142"/>
      <c r="M987" s="142"/>
      <c r="N987" s="12"/>
      <c r="O987" s="12" t="e">
        <v>#VALUE!</v>
      </c>
      <c r="P987" s="13" t="str">
        <f t="shared" si="16"/>
        <v/>
      </c>
      <c r="Q987" s="158"/>
      <c r="R987" s="142" t="s">
        <v>2371</v>
      </c>
    </row>
    <row r="988" spans="1:18" s="139" customFormat="1" ht="28.5" customHeight="1" x14ac:dyDescent="0.15">
      <c r="A988" s="142" t="s">
        <v>2375</v>
      </c>
      <c r="B988" s="142">
        <v>20</v>
      </c>
      <c r="C988" s="143" t="s">
        <v>2716</v>
      </c>
      <c r="D988" s="143">
        <v>1946</v>
      </c>
      <c r="E988" s="144" t="s">
        <v>20</v>
      </c>
      <c r="F988" s="143"/>
      <c r="G988" s="143" t="s">
        <v>2741</v>
      </c>
      <c r="H988" s="142" t="s">
        <v>2396</v>
      </c>
      <c r="I988" s="143" t="s">
        <v>2689</v>
      </c>
      <c r="J988" s="142" t="s">
        <v>2742</v>
      </c>
      <c r="K988" s="142"/>
      <c r="L988" s="142"/>
      <c r="M988" s="142"/>
      <c r="N988" s="12" t="s">
        <v>2743</v>
      </c>
      <c r="O988" s="12" t="s">
        <v>2356</v>
      </c>
      <c r="P988" s="13" t="str">
        <f t="shared" si="16"/>
        <v>日本の歴史の中の亀山／現代の亀山／交通と通信／電話（電報電話局）</v>
      </c>
      <c r="Q988" s="158"/>
      <c r="R988" s="142" t="s">
        <v>2371</v>
      </c>
    </row>
    <row r="989" spans="1:18" s="139" customFormat="1" ht="15" customHeight="1" x14ac:dyDescent="0.15">
      <c r="A989" s="142" t="s">
        <v>2375</v>
      </c>
      <c r="B989" s="142">
        <v>20</v>
      </c>
      <c r="C989" s="143" t="s">
        <v>2744</v>
      </c>
      <c r="D989" s="143">
        <v>1947</v>
      </c>
      <c r="E989" s="144" t="s">
        <v>20</v>
      </c>
      <c r="F989" s="143"/>
      <c r="G989" s="143" t="s">
        <v>2745</v>
      </c>
      <c r="H989" s="142" t="s">
        <v>250</v>
      </c>
      <c r="I989" s="143" t="s">
        <v>2247</v>
      </c>
      <c r="J989" s="142" t="s">
        <v>2746</v>
      </c>
      <c r="K989" s="142"/>
      <c r="L989" s="142"/>
      <c r="M989" s="142"/>
      <c r="N989" s="12"/>
      <c r="O989" s="12" t="e">
        <v>#VALUE!</v>
      </c>
      <c r="P989" s="13" t="str">
        <f t="shared" si="16"/>
        <v/>
      </c>
      <c r="Q989" s="158"/>
      <c r="R989" s="142" t="s">
        <v>2365</v>
      </c>
    </row>
    <row r="990" spans="1:18" s="139" customFormat="1" ht="15" customHeight="1" x14ac:dyDescent="0.15">
      <c r="A990" s="142" t="s">
        <v>2375</v>
      </c>
      <c r="B990" s="142">
        <v>20</v>
      </c>
      <c r="C990" s="143" t="s">
        <v>2744</v>
      </c>
      <c r="D990" s="143">
        <v>1947</v>
      </c>
      <c r="E990" s="144" t="s">
        <v>20</v>
      </c>
      <c r="F990" s="161" t="s">
        <v>2747</v>
      </c>
      <c r="G990" s="143"/>
      <c r="H990" s="142"/>
      <c r="I990" s="143"/>
      <c r="J990" s="142"/>
      <c r="K990" s="142"/>
      <c r="L990" s="142"/>
      <c r="M990" s="142"/>
      <c r="N990" s="12"/>
      <c r="O990" s="12" t="e">
        <v>#VALUE!</v>
      </c>
      <c r="P990" s="13" t="str">
        <f t="shared" si="16"/>
        <v/>
      </c>
      <c r="Q990" s="158"/>
      <c r="R990" s="142"/>
    </row>
    <row r="991" spans="1:18" s="139" customFormat="1" ht="43.5" customHeight="1" x14ac:dyDescent="0.15">
      <c r="A991" s="142" t="s">
        <v>2375</v>
      </c>
      <c r="B991" s="142">
        <v>20</v>
      </c>
      <c r="C991" s="143" t="s">
        <v>2744</v>
      </c>
      <c r="D991" s="143">
        <v>1947</v>
      </c>
      <c r="E991" s="144" t="s">
        <v>20</v>
      </c>
      <c r="F991" s="143"/>
      <c r="G991" s="143" t="s">
        <v>2748</v>
      </c>
      <c r="H991" s="142"/>
      <c r="I991" s="143"/>
      <c r="J991" s="142"/>
      <c r="K991" s="142"/>
      <c r="L991" s="142"/>
      <c r="M991" s="142"/>
      <c r="N991" s="12" t="s">
        <v>2749</v>
      </c>
      <c r="O991" s="12" t="s">
        <v>2750</v>
      </c>
      <c r="P991" s="13" t="str">
        <f t="shared" si="16"/>
        <v>日本の歴史の中の亀山／現代の亀山／教育と医療福祉／学制の改編</v>
      </c>
      <c r="Q991" s="158"/>
      <c r="R991" s="142" t="s">
        <v>2751</v>
      </c>
    </row>
    <row r="992" spans="1:18" s="139" customFormat="1" ht="78.599999999999994" customHeight="1" x14ac:dyDescent="0.15">
      <c r="A992" s="142" t="s">
        <v>2375</v>
      </c>
      <c r="B992" s="142">
        <v>20</v>
      </c>
      <c r="C992" s="143" t="s">
        <v>2744</v>
      </c>
      <c r="D992" s="143">
        <v>1947</v>
      </c>
      <c r="E992" s="144" t="s">
        <v>20</v>
      </c>
      <c r="F992" s="143"/>
      <c r="G992" s="143" t="s">
        <v>2752</v>
      </c>
      <c r="H992" s="142" t="s">
        <v>464</v>
      </c>
      <c r="I992" s="143" t="s">
        <v>2753</v>
      </c>
      <c r="J992" s="142" t="s">
        <v>2754</v>
      </c>
      <c r="K992" s="142"/>
      <c r="L992" s="142"/>
      <c r="M992" s="142"/>
      <c r="N992" s="12" t="s">
        <v>2730</v>
      </c>
      <c r="O992" s="12" t="s">
        <v>2731</v>
      </c>
      <c r="P992" s="13" t="str">
        <f t="shared" si="16"/>
        <v>日本の歴史の中の亀山／現代の亀山／教育と医療・福祉／保育園</v>
      </c>
      <c r="Q992" s="158"/>
      <c r="R992" s="142" t="s">
        <v>2755</v>
      </c>
    </row>
    <row r="993" spans="1:18" s="139" customFormat="1" ht="48" customHeight="1" x14ac:dyDescent="0.15">
      <c r="A993" s="145" t="s">
        <v>2375</v>
      </c>
      <c r="B993" s="145">
        <v>20</v>
      </c>
      <c r="C993" s="146" t="s">
        <v>2744</v>
      </c>
      <c r="D993" s="146">
        <v>1947</v>
      </c>
      <c r="E993" s="147" t="s">
        <v>20</v>
      </c>
      <c r="F993" s="146"/>
      <c r="G993" s="345" t="s">
        <v>2756</v>
      </c>
      <c r="H993" s="145" t="s">
        <v>464</v>
      </c>
      <c r="I993" s="163" t="s">
        <v>1157</v>
      </c>
      <c r="J993" s="145" t="s">
        <v>2757</v>
      </c>
      <c r="K993" s="145"/>
      <c r="L993" s="145"/>
      <c r="M993" s="145"/>
      <c r="N993" s="74" t="s">
        <v>2758</v>
      </c>
      <c r="O993" s="32" t="s">
        <v>2759</v>
      </c>
      <c r="P993" s="33" t="str">
        <f t="shared" si="16"/>
        <v>日本の歴史の中の亀山／現代の亀山／教育と医療・福祉／図書館</v>
      </c>
      <c r="Q993" s="71" t="str">
        <f>HYPERLINK("http:/kameyamarekihaku.jp/sisi/RekisiHP/kingendai/quiz/tatemono/tatemono.html","市史近代・現代ページ 建物クイズ")</f>
        <v>市史近代・現代ページ 建物クイズ</v>
      </c>
      <c r="R993" s="145" t="s">
        <v>2760</v>
      </c>
    </row>
    <row r="994" spans="1:18" s="139" customFormat="1" ht="24.75" customHeight="1" x14ac:dyDescent="0.15">
      <c r="A994" s="151"/>
      <c r="B994" s="151"/>
      <c r="C994" s="152"/>
      <c r="D994" s="152"/>
      <c r="E994" s="153"/>
      <c r="F994" s="152"/>
      <c r="G994" s="353"/>
      <c r="H994" s="151"/>
      <c r="I994" s="169"/>
      <c r="J994" s="151"/>
      <c r="K994" s="151"/>
      <c r="L994" s="151"/>
      <c r="M994" s="151"/>
      <c r="N994" s="53" t="s">
        <v>1083</v>
      </c>
      <c r="O994" s="29" t="s">
        <v>774</v>
      </c>
      <c r="P994" s="30" t="str">
        <f t="shared" si="16"/>
        <v>亀山のいいとこさがし／建物</v>
      </c>
      <c r="Q994" s="102"/>
      <c r="R994" s="151"/>
    </row>
    <row r="995" spans="1:18" s="139" customFormat="1" ht="33.75" customHeight="1" x14ac:dyDescent="0.15">
      <c r="A995" s="145" t="s">
        <v>2375</v>
      </c>
      <c r="B995" s="145">
        <v>20</v>
      </c>
      <c r="C995" s="146" t="s">
        <v>2744</v>
      </c>
      <c r="D995" s="146">
        <v>1947</v>
      </c>
      <c r="E995" s="147" t="s">
        <v>34</v>
      </c>
      <c r="F995" s="146"/>
      <c r="G995" s="239" t="s">
        <v>2761</v>
      </c>
      <c r="H995" s="145" t="s">
        <v>515</v>
      </c>
      <c r="I995" s="163" t="s">
        <v>2762</v>
      </c>
      <c r="J995" s="145" t="s">
        <v>2763</v>
      </c>
      <c r="K995" s="145"/>
      <c r="L995" s="145"/>
      <c r="M995" s="71"/>
      <c r="N995" s="32"/>
      <c r="O995" s="32" t="e">
        <v>#VALUE!</v>
      </c>
      <c r="P995" s="33" t="str">
        <f t="shared" si="16"/>
        <v/>
      </c>
      <c r="Q995" s="25" t="str">
        <f>HYPERLINK("http:/kameyamarekihaku.jp/sisi/tuusiHP_next/tuusi-index.html#kochuusei0401","市史通史編 原始・古代・中世第4章第1節")</f>
        <v>市史通史編 原始・古代・中世第4章第1節</v>
      </c>
      <c r="R995" s="160" t="s">
        <v>2764</v>
      </c>
    </row>
    <row r="996" spans="1:18" s="139" customFormat="1" ht="28.5" customHeight="1" x14ac:dyDescent="0.15">
      <c r="A996" s="142" t="s">
        <v>2375</v>
      </c>
      <c r="B996" s="142">
        <v>20</v>
      </c>
      <c r="C996" s="143" t="s">
        <v>2744</v>
      </c>
      <c r="D996" s="143">
        <v>1947</v>
      </c>
      <c r="E996" s="144" t="s">
        <v>20</v>
      </c>
      <c r="F996" s="143"/>
      <c r="G996" s="143" t="s">
        <v>2765</v>
      </c>
      <c r="H996" s="142" t="s">
        <v>2766</v>
      </c>
      <c r="I996" s="175"/>
      <c r="J996" s="142" t="s">
        <v>2767</v>
      </c>
      <c r="K996" s="142"/>
      <c r="L996" s="142"/>
      <c r="M996" s="142"/>
      <c r="N996" s="23"/>
      <c r="O996" s="23" t="e">
        <v>#VALUE!</v>
      </c>
      <c r="P996" s="24" t="str">
        <f t="shared" si="16"/>
        <v/>
      </c>
      <c r="Q996" s="25" t="str">
        <f>HYPERLINK("http:/kameyamarekihaku.jp/sisi/tuusiHP_next/tuusi-index.html#kingendai0901","市史通史編 近代・現代第9章第1節第1項")</f>
        <v>市史通史編 近代・現代第9章第1節第1項</v>
      </c>
      <c r="R996" s="142" t="s">
        <v>2768</v>
      </c>
    </row>
    <row r="997" spans="1:18" s="139" customFormat="1" ht="52.35" customHeight="1" x14ac:dyDescent="0.15">
      <c r="A997" s="142" t="s">
        <v>2375</v>
      </c>
      <c r="B997" s="142">
        <v>20</v>
      </c>
      <c r="C997" s="143" t="s">
        <v>2769</v>
      </c>
      <c r="D997" s="143">
        <v>1948</v>
      </c>
      <c r="E997" s="144" t="s">
        <v>20</v>
      </c>
      <c r="F997" s="143"/>
      <c r="G997" s="143" t="s">
        <v>2770</v>
      </c>
      <c r="H997" s="120" t="s">
        <v>2771</v>
      </c>
      <c r="I997" s="175" t="s">
        <v>2772</v>
      </c>
      <c r="J997" s="142" t="s">
        <v>2773</v>
      </c>
      <c r="K997" s="142"/>
      <c r="L997" s="142"/>
      <c r="M997" s="142"/>
      <c r="N997" s="23"/>
      <c r="O997" s="23" t="e">
        <v>#VALUE!</v>
      </c>
      <c r="P997" s="24" t="str">
        <f t="shared" si="16"/>
        <v/>
      </c>
      <c r="Q997" s="25" t="str">
        <f>HYPERLINK("http://kameyamarekihaku.jp/sisi/RekisiHP/kingendai/quiz/school/schoo01l.html","市史近代・現代ページ 学校クイズ")</f>
        <v>市史近代・現代ページ 学校クイズ</v>
      </c>
      <c r="R997" s="142" t="s">
        <v>2654</v>
      </c>
    </row>
    <row r="998" spans="1:18" s="139" customFormat="1" ht="39.4" customHeight="1" x14ac:dyDescent="0.15">
      <c r="A998" s="142" t="s">
        <v>2375</v>
      </c>
      <c r="B998" s="142">
        <v>20</v>
      </c>
      <c r="C998" s="143" t="s">
        <v>2769</v>
      </c>
      <c r="D998" s="143">
        <v>1948</v>
      </c>
      <c r="E998" s="144" t="s">
        <v>20</v>
      </c>
      <c r="F998" s="143"/>
      <c r="G998" s="143" t="s">
        <v>2774</v>
      </c>
      <c r="H998" s="142" t="s">
        <v>305</v>
      </c>
      <c r="I998" s="175" t="s">
        <v>2167</v>
      </c>
      <c r="J998" s="142" t="s">
        <v>2775</v>
      </c>
      <c r="K998" s="142"/>
      <c r="L998" s="142"/>
      <c r="M998" s="142"/>
      <c r="N998" s="23"/>
      <c r="O998" s="23" t="e">
        <v>#VALUE!</v>
      </c>
      <c r="P998" s="24" t="str">
        <f t="shared" si="16"/>
        <v/>
      </c>
      <c r="Q998" s="25" t="str">
        <f>HYPERLINK("http:/kameyamarekihaku.jp/sisi/tuusiHP_next/tuusi-index.html#kingendai0901","市史通史編 近代・現代第9章第1節")</f>
        <v>市史通史編 近代・現代第9章第1節</v>
      </c>
      <c r="R998" s="142" t="s">
        <v>2677</v>
      </c>
    </row>
    <row r="999" spans="1:18" s="139" customFormat="1" ht="28.5" customHeight="1" x14ac:dyDescent="0.15">
      <c r="A999" s="142" t="s">
        <v>2375</v>
      </c>
      <c r="B999" s="142">
        <v>20</v>
      </c>
      <c r="C999" s="143" t="s">
        <v>2769</v>
      </c>
      <c r="D999" s="143">
        <v>1948</v>
      </c>
      <c r="E999" s="144" t="s">
        <v>20</v>
      </c>
      <c r="F999" s="143"/>
      <c r="G999" s="143" t="s">
        <v>2776</v>
      </c>
      <c r="H999" s="120" t="s">
        <v>464</v>
      </c>
      <c r="I999" s="175" t="s">
        <v>1833</v>
      </c>
      <c r="J999" s="142" t="s">
        <v>2777</v>
      </c>
      <c r="K999" s="142"/>
      <c r="L999" s="142"/>
      <c r="M999" s="142"/>
      <c r="N999" s="12"/>
      <c r="O999" s="12" t="e">
        <v>#VALUE!</v>
      </c>
      <c r="P999" s="13" t="str">
        <f t="shared" si="16"/>
        <v/>
      </c>
      <c r="Q999" s="158"/>
      <c r="R999" s="142" t="s">
        <v>2365</v>
      </c>
    </row>
    <row r="1000" spans="1:18" s="139" customFormat="1" ht="31.5" customHeight="1" x14ac:dyDescent="0.15">
      <c r="A1000" s="142" t="s">
        <v>2375</v>
      </c>
      <c r="B1000" s="142">
        <v>20</v>
      </c>
      <c r="C1000" s="143" t="s">
        <v>2769</v>
      </c>
      <c r="D1000" s="143">
        <v>1948</v>
      </c>
      <c r="E1000" s="144" t="s">
        <v>20</v>
      </c>
      <c r="F1000" s="143"/>
      <c r="G1000" s="143" t="s">
        <v>2778</v>
      </c>
      <c r="H1000" s="142" t="s">
        <v>632</v>
      </c>
      <c r="I1000" s="175"/>
      <c r="J1000" s="142" t="s">
        <v>2779</v>
      </c>
      <c r="K1000" s="142"/>
      <c r="L1000" s="142"/>
      <c r="M1000" s="142"/>
      <c r="N1000" s="23"/>
      <c r="O1000" s="23" t="e">
        <v>#VALUE!</v>
      </c>
      <c r="P1000" s="24" t="str">
        <f t="shared" si="16"/>
        <v/>
      </c>
      <c r="Q1000" s="25" t="str">
        <f>HYPERLINK("http:/kameyamarekihaku.jp/sisi/tuusiHP_next/tuusi-index.html#kingendai0901","市史通史編 近代・現代第9章第1節第1項")</f>
        <v>市史通史編 近代・現代第9章第1節第1項</v>
      </c>
      <c r="R1000" s="142" t="s">
        <v>2768</v>
      </c>
    </row>
    <row r="1001" spans="1:18" s="139" customFormat="1" ht="65.45" customHeight="1" x14ac:dyDescent="0.15">
      <c r="A1001" s="142" t="s">
        <v>2375</v>
      </c>
      <c r="B1001" s="142">
        <v>20</v>
      </c>
      <c r="C1001" s="143" t="s">
        <v>2769</v>
      </c>
      <c r="D1001" s="143">
        <v>1948</v>
      </c>
      <c r="E1001" s="144" t="s">
        <v>20</v>
      </c>
      <c r="F1001" s="143"/>
      <c r="G1001" s="143" t="s">
        <v>2780</v>
      </c>
      <c r="H1001" s="142" t="s">
        <v>2707</v>
      </c>
      <c r="I1001" s="143" t="s">
        <v>2781</v>
      </c>
      <c r="J1001" s="142" t="s">
        <v>2782</v>
      </c>
      <c r="K1001" s="142"/>
      <c r="L1001" s="142"/>
      <c r="M1001" s="142"/>
      <c r="N1001" s="23"/>
      <c r="O1001" s="23" t="e">
        <v>#VALUE!</v>
      </c>
      <c r="P1001" s="24" t="str">
        <f t="shared" si="16"/>
        <v/>
      </c>
      <c r="Q1001" s="25" t="str">
        <f>HYPERLINK("http:/kameyamarekihaku.jp/sisi/RekisiHP/kingendai/quiz/school/schoo01l.html","市史近代・現代ページ 学校クイズ")</f>
        <v>市史近代・現代ページ 学校クイズ</v>
      </c>
      <c r="R1001" s="142" t="s">
        <v>2783</v>
      </c>
    </row>
    <row r="1002" spans="1:18" s="139" customFormat="1" ht="15.75" customHeight="1" x14ac:dyDescent="0.15">
      <c r="A1002" s="145" t="s">
        <v>2375</v>
      </c>
      <c r="B1002" s="145">
        <v>20</v>
      </c>
      <c r="C1002" s="146" t="s">
        <v>2769</v>
      </c>
      <c r="D1002" s="146">
        <v>1948</v>
      </c>
      <c r="E1002" s="147" t="s">
        <v>20</v>
      </c>
      <c r="F1002" s="146"/>
      <c r="G1002" s="345" t="s">
        <v>2784</v>
      </c>
      <c r="H1002" s="88" t="s">
        <v>464</v>
      </c>
      <c r="I1002" s="163" t="s">
        <v>1833</v>
      </c>
      <c r="J1002" s="145" t="s">
        <v>2785</v>
      </c>
      <c r="K1002" s="145"/>
      <c r="L1002" s="145"/>
      <c r="M1002" s="145"/>
      <c r="N1002" s="32" t="s">
        <v>2786</v>
      </c>
      <c r="O1002" s="32" t="s">
        <v>2787</v>
      </c>
      <c r="P1002" s="33" t="str">
        <f t="shared" si="16"/>
        <v>学校のあゆみ／亀山中学校のれきし</v>
      </c>
      <c r="Q1002" s="17" t="str">
        <f>HYPERLINK("http:/kameyamarekihaku.jp/sisi/RekisiHP/kingendai/quiz/school/schoo01l.html","市史近代・現代ページ 学校クイズ")</f>
        <v>市史近代・現代ページ 学校クイズ</v>
      </c>
      <c r="R1002" s="347" t="s">
        <v>2788</v>
      </c>
    </row>
    <row r="1003" spans="1:18" s="139" customFormat="1" ht="16.5" customHeight="1" x14ac:dyDescent="0.15">
      <c r="A1003" s="136"/>
      <c r="B1003" s="136"/>
      <c r="C1003" s="137"/>
      <c r="D1003" s="137"/>
      <c r="E1003" s="138"/>
      <c r="F1003" s="137"/>
      <c r="G1003" s="346"/>
      <c r="H1003" s="90"/>
      <c r="I1003" s="165"/>
      <c r="J1003" s="136"/>
      <c r="K1003" s="136"/>
      <c r="L1003" s="136"/>
      <c r="M1003" s="136"/>
      <c r="N1003" s="19" t="s">
        <v>2789</v>
      </c>
      <c r="O1003" s="19" t="s">
        <v>2790</v>
      </c>
      <c r="P1003" s="20" t="str">
        <f t="shared" si="16"/>
        <v>学校のあゆみ／関中学校のれきし</v>
      </c>
      <c r="Q1003" s="21"/>
      <c r="R1003" s="332"/>
    </row>
    <row r="1004" spans="1:18" s="139" customFormat="1" ht="27" customHeight="1" x14ac:dyDescent="0.15">
      <c r="A1004" s="151"/>
      <c r="B1004" s="151"/>
      <c r="C1004" s="152"/>
      <c r="D1004" s="152"/>
      <c r="E1004" s="153"/>
      <c r="F1004" s="152"/>
      <c r="G1004" s="353"/>
      <c r="H1004" s="91"/>
      <c r="I1004" s="169"/>
      <c r="J1004" s="151"/>
      <c r="K1004" s="151"/>
      <c r="L1004" s="151"/>
      <c r="M1004" s="151"/>
      <c r="N1004" s="29" t="s">
        <v>2791</v>
      </c>
      <c r="O1004" s="29" t="s">
        <v>2792</v>
      </c>
      <c r="P1004" s="30" t="str">
        <f t="shared" si="16"/>
        <v>学校のあゆみ／中部中学校のれきし</v>
      </c>
      <c r="Q1004" s="10"/>
      <c r="R1004" s="151"/>
    </row>
    <row r="1005" spans="1:18" s="139" customFormat="1" ht="65.45" customHeight="1" x14ac:dyDescent="0.15">
      <c r="A1005" s="142" t="s">
        <v>2375</v>
      </c>
      <c r="B1005" s="142">
        <v>20</v>
      </c>
      <c r="C1005" s="143" t="s">
        <v>2769</v>
      </c>
      <c r="D1005" s="143">
        <v>1948</v>
      </c>
      <c r="E1005" s="144" t="s">
        <v>20</v>
      </c>
      <c r="F1005" s="143"/>
      <c r="G1005" s="143" t="s">
        <v>2793</v>
      </c>
      <c r="H1005" s="142" t="s">
        <v>2794</v>
      </c>
      <c r="I1005" s="175" t="s">
        <v>2795</v>
      </c>
      <c r="J1005" s="142" t="s">
        <v>2796</v>
      </c>
      <c r="K1005" s="142"/>
      <c r="L1005" s="142"/>
      <c r="M1005" s="142"/>
      <c r="N1005" s="23" t="s">
        <v>2797</v>
      </c>
      <c r="O1005" s="23" t="s">
        <v>2792</v>
      </c>
      <c r="P1005" s="24" t="str">
        <f t="shared" si="16"/>
        <v>学校のあゆみ／中部中学校のれきし</v>
      </c>
      <c r="Q1005" s="25" t="str">
        <f>HYPERLINK("http:/kameyamarekihaku.jp/sisi/RekisiHP/kingendai/quiz/school/schoo01l.html","市史近代・現代ページ 学校クイズ")</f>
        <v>市史近代・現代ページ 学校クイズ</v>
      </c>
      <c r="R1005" s="142" t="s">
        <v>2798</v>
      </c>
    </row>
    <row r="1006" spans="1:18" s="139" customFormat="1" ht="98.25" customHeight="1" x14ac:dyDescent="0.15">
      <c r="A1006" s="142" t="s">
        <v>2375</v>
      </c>
      <c r="B1006" s="142">
        <v>20</v>
      </c>
      <c r="C1006" s="143" t="s">
        <v>2769</v>
      </c>
      <c r="D1006" s="143">
        <v>1948</v>
      </c>
      <c r="E1006" s="144" t="s">
        <v>20</v>
      </c>
      <c r="F1006" s="143"/>
      <c r="G1006" s="143" t="s">
        <v>2799</v>
      </c>
      <c r="H1006" s="142" t="s">
        <v>2800</v>
      </c>
      <c r="I1006" s="143" t="s">
        <v>2801</v>
      </c>
      <c r="J1006" s="142" t="s">
        <v>2802</v>
      </c>
      <c r="K1006" s="142"/>
      <c r="L1006" s="142" t="s">
        <v>2803</v>
      </c>
      <c r="M1006" s="142"/>
      <c r="N1006" s="23" t="s">
        <v>2789</v>
      </c>
      <c r="O1006" s="23" t="s">
        <v>2790</v>
      </c>
      <c r="P1006" s="24" t="str">
        <f t="shared" si="16"/>
        <v>学校のあゆみ／関中学校のれきし</v>
      </c>
      <c r="Q1006" s="25" t="str">
        <f>HYPERLINK("http:/kameyamarekihaku.jp/sisi/RekisiHP/kingendai/quiz/school/schoo01l.html","市史近代・現代ページ 学校クイズ")</f>
        <v>市史近代・現代ページ 学校クイズ</v>
      </c>
      <c r="R1006" s="142" t="s">
        <v>2804</v>
      </c>
    </row>
    <row r="1007" spans="1:18" s="139" customFormat="1" ht="28.5" customHeight="1" x14ac:dyDescent="0.15">
      <c r="A1007" s="142" t="s">
        <v>2375</v>
      </c>
      <c r="B1007" s="142">
        <v>20</v>
      </c>
      <c r="C1007" s="143" t="s">
        <v>2769</v>
      </c>
      <c r="D1007" s="143">
        <v>1948</v>
      </c>
      <c r="E1007" s="144" t="s">
        <v>20</v>
      </c>
      <c r="F1007" s="143"/>
      <c r="G1007" s="143" t="s">
        <v>2805</v>
      </c>
      <c r="H1007" s="142" t="s">
        <v>2806</v>
      </c>
      <c r="I1007" s="175"/>
      <c r="J1007" s="142" t="s">
        <v>2807</v>
      </c>
      <c r="K1007" s="142"/>
      <c r="L1007" s="142"/>
      <c r="M1007" s="142"/>
      <c r="N1007" s="23"/>
      <c r="O1007" s="23" t="e">
        <v>#VALUE!</v>
      </c>
      <c r="P1007" s="24" t="str">
        <f t="shared" si="16"/>
        <v/>
      </c>
      <c r="Q1007" s="25" t="str">
        <f>HYPERLINK("http:/kameyamarekihaku.jp/sisi/tuusiHP_next/tuusi-index.html#kingendai0901","市史通史編 近代・現代第9章第1節第1項")</f>
        <v>市史通史編 近代・現代第9章第1節第1項</v>
      </c>
      <c r="R1007" s="142" t="s">
        <v>2768</v>
      </c>
    </row>
    <row r="1008" spans="1:18" s="139" customFormat="1" ht="28.5" customHeight="1" x14ac:dyDescent="0.15">
      <c r="A1008" s="142" t="s">
        <v>2375</v>
      </c>
      <c r="B1008" s="142">
        <v>20</v>
      </c>
      <c r="C1008" s="143" t="s">
        <v>2769</v>
      </c>
      <c r="D1008" s="143">
        <v>1948</v>
      </c>
      <c r="E1008" s="144" t="s">
        <v>20</v>
      </c>
      <c r="F1008" s="143"/>
      <c r="G1008" s="143" t="s">
        <v>2808</v>
      </c>
      <c r="H1008" s="142"/>
      <c r="I1008" s="143"/>
      <c r="J1008" s="142" t="s">
        <v>2809</v>
      </c>
      <c r="K1008" s="142"/>
      <c r="L1008" s="142"/>
      <c r="M1008" s="142"/>
      <c r="N1008" s="12" t="s">
        <v>2810</v>
      </c>
      <c r="O1008" s="12" t="s">
        <v>2484</v>
      </c>
      <c r="P1008" s="13" t="str">
        <f t="shared" si="16"/>
        <v>日本の歴史の中の亀山／現代の亀山／交通と通信／バス</v>
      </c>
      <c r="Q1008" s="158"/>
      <c r="R1008" s="142" t="s">
        <v>2811</v>
      </c>
    </row>
    <row r="1009" spans="1:18" s="139" customFormat="1" ht="29.25" customHeight="1" x14ac:dyDescent="0.15">
      <c r="A1009" s="142" t="s">
        <v>2375</v>
      </c>
      <c r="B1009" s="142">
        <v>20</v>
      </c>
      <c r="C1009" s="143" t="s">
        <v>2769</v>
      </c>
      <c r="D1009" s="143">
        <v>1948</v>
      </c>
      <c r="E1009" s="144" t="s">
        <v>20</v>
      </c>
      <c r="F1009" s="143"/>
      <c r="G1009" s="143" t="s">
        <v>2812</v>
      </c>
      <c r="H1009" s="142"/>
      <c r="I1009" s="143"/>
      <c r="J1009" s="142" t="s">
        <v>2813</v>
      </c>
      <c r="K1009" s="142"/>
      <c r="L1009" s="142"/>
      <c r="M1009" s="142"/>
      <c r="N1009" s="12"/>
      <c r="O1009" s="12" t="e">
        <v>#VALUE!</v>
      </c>
      <c r="P1009" s="13" t="str">
        <f t="shared" si="16"/>
        <v/>
      </c>
      <c r="Q1009" s="158"/>
      <c r="R1009" s="142" t="s">
        <v>2814</v>
      </c>
    </row>
    <row r="1010" spans="1:18" s="139" customFormat="1" ht="29.1" customHeight="1" x14ac:dyDescent="0.15">
      <c r="A1010" s="142" t="s">
        <v>2375</v>
      </c>
      <c r="B1010" s="142">
        <v>20</v>
      </c>
      <c r="C1010" s="143" t="s">
        <v>2769</v>
      </c>
      <c r="D1010" s="143">
        <v>1948</v>
      </c>
      <c r="E1010" s="144" t="s">
        <v>20</v>
      </c>
      <c r="F1010" s="143"/>
      <c r="G1010" s="143" t="s">
        <v>2815</v>
      </c>
      <c r="H1010" s="142"/>
      <c r="I1010" s="143"/>
      <c r="J1010" s="142" t="s">
        <v>2816</v>
      </c>
      <c r="K1010" s="142"/>
      <c r="L1010" s="142"/>
      <c r="M1010" s="142"/>
      <c r="N1010" s="12"/>
      <c r="O1010" s="12" t="e">
        <v>#VALUE!</v>
      </c>
      <c r="P1010" s="13" t="str">
        <f t="shared" si="16"/>
        <v/>
      </c>
      <c r="Q1010" s="158"/>
      <c r="R1010" s="142" t="s">
        <v>2365</v>
      </c>
    </row>
    <row r="1011" spans="1:18" s="139" customFormat="1" ht="28.5" customHeight="1" x14ac:dyDescent="0.15">
      <c r="A1011" s="142" t="s">
        <v>2375</v>
      </c>
      <c r="B1011" s="142">
        <v>20</v>
      </c>
      <c r="C1011" s="143" t="s">
        <v>2769</v>
      </c>
      <c r="D1011" s="143">
        <v>1948</v>
      </c>
      <c r="E1011" s="144" t="s">
        <v>20</v>
      </c>
      <c r="F1011" s="143"/>
      <c r="G1011" s="143" t="s">
        <v>2817</v>
      </c>
      <c r="H1011" s="142" t="s">
        <v>2818</v>
      </c>
      <c r="I1011" s="143"/>
      <c r="J1011" s="142" t="s">
        <v>2819</v>
      </c>
      <c r="K1011" s="142"/>
      <c r="L1011" s="142"/>
      <c r="M1011" s="142"/>
      <c r="N1011" s="12"/>
      <c r="O1011" s="12" t="e">
        <v>#VALUE!</v>
      </c>
      <c r="P1011" s="13" t="str">
        <f t="shared" si="16"/>
        <v/>
      </c>
      <c r="Q1011" s="158"/>
      <c r="R1011" s="142" t="s">
        <v>2365</v>
      </c>
    </row>
    <row r="1012" spans="1:18" s="139" customFormat="1" ht="15" customHeight="1" x14ac:dyDescent="0.15">
      <c r="A1012" s="142" t="s">
        <v>2375</v>
      </c>
      <c r="B1012" s="142">
        <v>20</v>
      </c>
      <c r="C1012" s="143" t="s">
        <v>2769</v>
      </c>
      <c r="D1012" s="143">
        <v>1948</v>
      </c>
      <c r="E1012" s="144" t="s">
        <v>20</v>
      </c>
      <c r="F1012" s="143"/>
      <c r="G1012" s="143" t="s">
        <v>2820</v>
      </c>
      <c r="H1012" s="142"/>
      <c r="I1012" s="143"/>
      <c r="J1012" s="142" t="s">
        <v>2821</v>
      </c>
      <c r="K1012" s="142"/>
      <c r="L1012" s="142"/>
      <c r="M1012" s="142"/>
      <c r="N1012" s="12"/>
      <c r="O1012" s="12" t="e">
        <v>#VALUE!</v>
      </c>
      <c r="P1012" s="13" t="str">
        <f t="shared" si="16"/>
        <v/>
      </c>
      <c r="Q1012" s="158"/>
      <c r="R1012" s="142" t="s">
        <v>2371</v>
      </c>
    </row>
    <row r="1013" spans="1:18" s="139" customFormat="1" ht="69.75" customHeight="1" x14ac:dyDescent="0.15">
      <c r="A1013" s="142" t="s">
        <v>2375</v>
      </c>
      <c r="B1013" s="142">
        <v>20</v>
      </c>
      <c r="C1013" s="143" t="s">
        <v>2822</v>
      </c>
      <c r="D1013" s="143">
        <v>1949</v>
      </c>
      <c r="E1013" s="144" t="s">
        <v>20</v>
      </c>
      <c r="F1013" s="143"/>
      <c r="G1013" s="143" t="s">
        <v>2823</v>
      </c>
      <c r="H1013" s="142" t="s">
        <v>2824</v>
      </c>
      <c r="I1013" s="175" t="s">
        <v>2825</v>
      </c>
      <c r="J1013" s="142" t="s">
        <v>2826</v>
      </c>
      <c r="K1013" s="142"/>
      <c r="L1013" s="142"/>
      <c r="M1013" s="142"/>
      <c r="N1013" s="23" t="s">
        <v>2789</v>
      </c>
      <c r="O1013" s="23" t="s">
        <v>2790</v>
      </c>
      <c r="P1013" s="24" t="str">
        <f t="shared" si="16"/>
        <v>学校のあゆみ／関中学校のれきし</v>
      </c>
      <c r="Q1013" s="25" t="str">
        <f>HYPERLINK("http:/kameyamarekihaku.jp/sisi/RekisiHP/kingendai/quiz/school/schoo01l.html","市史近代・現代ページ 学校クイズ")</f>
        <v>市史近代・現代ページ 学校クイズ</v>
      </c>
      <c r="R1013" s="142" t="s">
        <v>2827</v>
      </c>
    </row>
    <row r="1014" spans="1:18" s="139" customFormat="1" ht="28.5" customHeight="1" x14ac:dyDescent="0.15">
      <c r="A1014" s="142" t="s">
        <v>2375</v>
      </c>
      <c r="B1014" s="142">
        <v>20</v>
      </c>
      <c r="C1014" s="143" t="s">
        <v>2822</v>
      </c>
      <c r="D1014" s="143">
        <v>1949</v>
      </c>
      <c r="E1014" s="144" t="s">
        <v>20</v>
      </c>
      <c r="F1014" s="143"/>
      <c r="G1014" s="143" t="s">
        <v>2828</v>
      </c>
      <c r="H1014" s="142" t="s">
        <v>250</v>
      </c>
      <c r="I1014" s="143" t="s">
        <v>2247</v>
      </c>
      <c r="J1014" s="142" t="s">
        <v>2829</v>
      </c>
      <c r="K1014" s="142"/>
      <c r="L1014" s="142"/>
      <c r="M1014" s="142"/>
      <c r="N1014" s="23"/>
      <c r="O1014" s="23" t="e">
        <v>#VALUE!</v>
      </c>
      <c r="P1014" s="24" t="str">
        <f t="shared" si="16"/>
        <v/>
      </c>
      <c r="Q1014" s="25" t="str">
        <f>HYPERLINK("http:/kameyamarekihaku.jp/sisi/RekisiHP/kingendai/quiz/school/schoo01l.html","市史近代・現代ページ 学校クイズ")</f>
        <v>市史近代・現代ページ 学校クイズ</v>
      </c>
      <c r="R1014" s="142" t="s">
        <v>2651</v>
      </c>
    </row>
    <row r="1015" spans="1:18" s="139" customFormat="1" ht="28.5" customHeight="1" x14ac:dyDescent="0.15">
      <c r="A1015" s="142" t="s">
        <v>2375</v>
      </c>
      <c r="B1015" s="142">
        <v>20</v>
      </c>
      <c r="C1015" s="143" t="s">
        <v>2822</v>
      </c>
      <c r="D1015" s="143">
        <v>1949</v>
      </c>
      <c r="E1015" s="144" t="s">
        <v>20</v>
      </c>
      <c r="F1015" s="143"/>
      <c r="G1015" s="143" t="s">
        <v>2830</v>
      </c>
      <c r="H1015" s="142" t="s">
        <v>464</v>
      </c>
      <c r="I1015" s="175" t="s">
        <v>1833</v>
      </c>
      <c r="J1015" s="142" t="s">
        <v>2831</v>
      </c>
      <c r="K1015" s="142"/>
      <c r="L1015" s="142"/>
      <c r="M1015" s="142"/>
      <c r="N1015" s="81"/>
      <c r="O1015" s="23" t="e">
        <v>#VALUE!</v>
      </c>
      <c r="P1015" s="24" t="str">
        <f t="shared" si="16"/>
        <v/>
      </c>
      <c r="Q1015" s="82" t="str">
        <f>HYPERLINK("http:/kameyamarekihaku.jp/sisi/RekisiHP/kingendai/quiz/tatemono/tatemono.html","市史近代・現代ページ 建物クイズ")</f>
        <v>市史近代・現代ページ 建物クイズ</v>
      </c>
      <c r="R1015" s="142" t="s">
        <v>2832</v>
      </c>
    </row>
    <row r="1016" spans="1:18" s="139" customFormat="1" ht="15" customHeight="1" x14ac:dyDescent="0.15">
      <c r="A1016" s="142" t="s">
        <v>2375</v>
      </c>
      <c r="B1016" s="142">
        <v>20</v>
      </c>
      <c r="C1016" s="143" t="s">
        <v>2822</v>
      </c>
      <c r="D1016" s="143">
        <v>1949</v>
      </c>
      <c r="E1016" s="144" t="s">
        <v>20</v>
      </c>
      <c r="F1016" s="143"/>
      <c r="G1016" s="143" t="s">
        <v>2833</v>
      </c>
      <c r="H1016" s="142"/>
      <c r="I1016" s="143"/>
      <c r="J1016" s="142"/>
      <c r="K1016" s="142"/>
      <c r="L1016" s="142"/>
      <c r="M1016" s="142"/>
      <c r="N1016" s="12"/>
      <c r="O1016" s="12" t="e">
        <v>#VALUE!</v>
      </c>
      <c r="P1016" s="13" t="str">
        <f t="shared" si="16"/>
        <v/>
      </c>
      <c r="Q1016" s="158"/>
      <c r="R1016" s="142" t="s">
        <v>2365</v>
      </c>
    </row>
    <row r="1017" spans="1:18" s="139" customFormat="1" ht="36" customHeight="1" x14ac:dyDescent="0.15">
      <c r="A1017" s="142" t="s">
        <v>2375</v>
      </c>
      <c r="B1017" s="142">
        <v>20</v>
      </c>
      <c r="C1017" s="143" t="s">
        <v>2822</v>
      </c>
      <c r="D1017" s="143">
        <v>1949</v>
      </c>
      <c r="E1017" s="144" t="s">
        <v>20</v>
      </c>
      <c r="F1017" s="143"/>
      <c r="G1017" s="143" t="s">
        <v>2834</v>
      </c>
      <c r="H1017" s="142" t="s">
        <v>250</v>
      </c>
      <c r="I1017" s="175" t="s">
        <v>2247</v>
      </c>
      <c r="J1017" s="142" t="s">
        <v>2835</v>
      </c>
      <c r="K1017" s="142"/>
      <c r="L1017" s="142"/>
      <c r="M1017" s="142"/>
      <c r="N1017" s="12" t="s">
        <v>2836</v>
      </c>
      <c r="O1017" s="12" t="s">
        <v>2731</v>
      </c>
      <c r="P1017" s="13" t="str">
        <f t="shared" si="16"/>
        <v>日本の歴史の中の亀山／現代の亀山／教育と医療・福祉／保育園</v>
      </c>
      <c r="Q1017" s="158"/>
      <c r="R1017" s="142" t="s">
        <v>2837</v>
      </c>
    </row>
    <row r="1018" spans="1:18" s="139" customFormat="1" ht="15" customHeight="1" x14ac:dyDescent="0.15">
      <c r="A1018" s="142" t="s">
        <v>2375</v>
      </c>
      <c r="B1018" s="142">
        <v>20</v>
      </c>
      <c r="C1018" s="143" t="s">
        <v>2822</v>
      </c>
      <c r="D1018" s="143">
        <v>1949</v>
      </c>
      <c r="E1018" s="144" t="s">
        <v>20</v>
      </c>
      <c r="F1018" s="143"/>
      <c r="G1018" s="143" t="s">
        <v>2838</v>
      </c>
      <c r="H1018" s="142" t="s">
        <v>464</v>
      </c>
      <c r="I1018" s="175" t="s">
        <v>2839</v>
      </c>
      <c r="J1018" s="142" t="s">
        <v>2840</v>
      </c>
      <c r="K1018" s="142"/>
      <c r="L1018" s="142"/>
      <c r="M1018" s="142"/>
      <c r="N1018" s="12"/>
      <c r="O1018" s="12" t="e">
        <v>#VALUE!</v>
      </c>
      <c r="P1018" s="13" t="str">
        <f t="shared" si="16"/>
        <v/>
      </c>
      <c r="Q1018" s="158"/>
      <c r="R1018" s="142" t="s">
        <v>2841</v>
      </c>
    </row>
    <row r="1019" spans="1:18" s="139" customFormat="1" ht="33" customHeight="1" x14ac:dyDescent="0.15">
      <c r="A1019" s="142" t="s">
        <v>2375</v>
      </c>
      <c r="B1019" s="142">
        <v>20</v>
      </c>
      <c r="C1019" s="143" t="s">
        <v>2822</v>
      </c>
      <c r="D1019" s="143">
        <v>1949</v>
      </c>
      <c r="E1019" s="144" t="s">
        <v>20</v>
      </c>
      <c r="F1019" s="143"/>
      <c r="G1019" s="143" t="s">
        <v>2842</v>
      </c>
      <c r="H1019" s="142" t="s">
        <v>464</v>
      </c>
      <c r="I1019" s="175" t="s">
        <v>2180</v>
      </c>
      <c r="J1019" s="142" t="s">
        <v>2843</v>
      </c>
      <c r="K1019" s="142"/>
      <c r="L1019" s="142"/>
      <c r="M1019" s="142"/>
      <c r="N1019" s="12" t="s">
        <v>2743</v>
      </c>
      <c r="O1019" s="12" t="s">
        <v>2356</v>
      </c>
      <c r="P1019" s="13" t="str">
        <f t="shared" si="16"/>
        <v>日本の歴史の中の亀山／現代の亀山／交通と通信／電話（電報電話局）</v>
      </c>
      <c r="Q1019" s="158"/>
      <c r="R1019" s="142" t="s">
        <v>2841</v>
      </c>
    </row>
    <row r="1020" spans="1:18" s="139" customFormat="1" ht="15" customHeight="1" x14ac:dyDescent="0.15">
      <c r="A1020" s="142" t="s">
        <v>2375</v>
      </c>
      <c r="B1020" s="142">
        <v>20</v>
      </c>
      <c r="C1020" s="143" t="s">
        <v>2822</v>
      </c>
      <c r="D1020" s="143">
        <v>1949</v>
      </c>
      <c r="E1020" s="144" t="s">
        <v>20</v>
      </c>
      <c r="F1020" s="143"/>
      <c r="G1020" s="143" t="s">
        <v>2844</v>
      </c>
      <c r="H1020" s="142" t="s">
        <v>2656</v>
      </c>
      <c r="I1020" s="143" t="s">
        <v>2544</v>
      </c>
      <c r="J1020" s="142" t="s">
        <v>2845</v>
      </c>
      <c r="K1020" s="142"/>
      <c r="L1020" s="142"/>
      <c r="M1020" s="142"/>
      <c r="N1020" s="12"/>
      <c r="O1020" s="12" t="e">
        <v>#VALUE!</v>
      </c>
      <c r="P1020" s="13" t="str">
        <f t="shared" si="16"/>
        <v/>
      </c>
      <c r="Q1020" s="158"/>
      <c r="R1020" s="142" t="s">
        <v>2841</v>
      </c>
    </row>
    <row r="1021" spans="1:18" s="139" customFormat="1" ht="28.5" customHeight="1" x14ac:dyDescent="0.15">
      <c r="A1021" s="142" t="s">
        <v>2375</v>
      </c>
      <c r="B1021" s="142">
        <v>20</v>
      </c>
      <c r="C1021" s="143" t="s">
        <v>2822</v>
      </c>
      <c r="D1021" s="143">
        <v>1949</v>
      </c>
      <c r="E1021" s="144" t="s">
        <v>20</v>
      </c>
      <c r="F1021" s="143"/>
      <c r="G1021" s="143" t="s">
        <v>2846</v>
      </c>
      <c r="H1021" s="142" t="s">
        <v>632</v>
      </c>
      <c r="I1021" s="175" t="s">
        <v>2847</v>
      </c>
      <c r="J1021" s="142" t="s">
        <v>2848</v>
      </c>
      <c r="K1021" s="142"/>
      <c r="L1021" s="142"/>
      <c r="M1021" s="142"/>
      <c r="N1021" s="12"/>
      <c r="O1021" s="12" t="e">
        <v>#VALUE!</v>
      </c>
      <c r="P1021" s="13" t="str">
        <f t="shared" si="16"/>
        <v/>
      </c>
      <c r="Q1021" s="158"/>
      <c r="R1021" s="142" t="s">
        <v>2365</v>
      </c>
    </row>
    <row r="1022" spans="1:18" s="139" customFormat="1" ht="25.5" customHeight="1" x14ac:dyDescent="0.15">
      <c r="A1022" s="142" t="s">
        <v>2375</v>
      </c>
      <c r="B1022" s="142">
        <v>20</v>
      </c>
      <c r="C1022" s="143" t="s">
        <v>2822</v>
      </c>
      <c r="D1022" s="143">
        <v>1949</v>
      </c>
      <c r="E1022" s="144" t="s">
        <v>20</v>
      </c>
      <c r="F1022" s="143"/>
      <c r="G1022" s="143" t="s">
        <v>2849</v>
      </c>
      <c r="H1022" s="142" t="s">
        <v>250</v>
      </c>
      <c r="I1022" s="143" t="s">
        <v>2850</v>
      </c>
      <c r="J1022" s="142" t="s">
        <v>2851</v>
      </c>
      <c r="K1022" s="142"/>
      <c r="L1022" s="142"/>
      <c r="M1022" s="142"/>
      <c r="N1022" s="12"/>
      <c r="O1022" s="12" t="e">
        <v>#VALUE!</v>
      </c>
      <c r="P1022" s="13" t="str">
        <f t="shared" si="16"/>
        <v/>
      </c>
      <c r="Q1022" s="158"/>
      <c r="R1022" s="142" t="s">
        <v>2365</v>
      </c>
    </row>
    <row r="1023" spans="1:18" s="139" customFormat="1" ht="29.25" customHeight="1" x14ac:dyDescent="0.15">
      <c r="A1023" s="142" t="s">
        <v>2375</v>
      </c>
      <c r="B1023" s="142">
        <v>20</v>
      </c>
      <c r="C1023" s="143" t="s">
        <v>2822</v>
      </c>
      <c r="D1023" s="143">
        <v>1949</v>
      </c>
      <c r="E1023" s="144" t="s">
        <v>20</v>
      </c>
      <c r="F1023" s="143"/>
      <c r="G1023" s="143" t="s">
        <v>2852</v>
      </c>
      <c r="H1023" s="142" t="s">
        <v>2396</v>
      </c>
      <c r="I1023" s="143" t="s">
        <v>815</v>
      </c>
      <c r="J1023" s="142" t="s">
        <v>2802</v>
      </c>
      <c r="K1023" s="142"/>
      <c r="L1023" s="142"/>
      <c r="M1023" s="142"/>
      <c r="N1023" s="23" t="s">
        <v>2789</v>
      </c>
      <c r="O1023" s="23" t="s">
        <v>2790</v>
      </c>
      <c r="P1023" s="24" t="str">
        <f t="shared" si="16"/>
        <v>学校のあゆみ／関中学校のれきし</v>
      </c>
      <c r="Q1023" s="25" t="str">
        <f>HYPERLINK("http:/kameyamarekihaku.jp/sisi/RekisiHP/kingendai/quiz/school/schoo01l.html","市史近代・現代ページ 学校クイズ")</f>
        <v>市史近代・現代ページ 学校クイズ</v>
      </c>
      <c r="R1023" s="142" t="s">
        <v>2451</v>
      </c>
    </row>
    <row r="1024" spans="1:18" s="139" customFormat="1" ht="15" customHeight="1" x14ac:dyDescent="0.15">
      <c r="A1024" s="142" t="s">
        <v>2375</v>
      </c>
      <c r="B1024" s="142">
        <v>20</v>
      </c>
      <c r="C1024" s="143" t="s">
        <v>2822</v>
      </c>
      <c r="D1024" s="143">
        <v>1949</v>
      </c>
      <c r="E1024" s="144" t="s">
        <v>20</v>
      </c>
      <c r="F1024" s="143"/>
      <c r="G1024" s="143" t="s">
        <v>2853</v>
      </c>
      <c r="H1024" s="142" t="s">
        <v>2396</v>
      </c>
      <c r="I1024" s="143"/>
      <c r="J1024" s="142"/>
      <c r="K1024" s="142"/>
      <c r="L1024" s="142"/>
      <c r="M1024" s="142"/>
      <c r="N1024" s="12"/>
      <c r="O1024" s="12" t="e">
        <v>#VALUE!</v>
      </c>
      <c r="P1024" s="13" t="str">
        <f t="shared" si="16"/>
        <v/>
      </c>
      <c r="Q1024" s="158"/>
      <c r="R1024" s="142" t="s">
        <v>2371</v>
      </c>
    </row>
    <row r="1025" spans="1:18" s="139" customFormat="1" ht="18" customHeight="1" x14ac:dyDescent="0.15">
      <c r="A1025" s="145" t="s">
        <v>2375</v>
      </c>
      <c r="B1025" s="145">
        <v>20</v>
      </c>
      <c r="C1025" s="146" t="s">
        <v>2854</v>
      </c>
      <c r="D1025" s="146">
        <v>1950</v>
      </c>
      <c r="E1025" s="147" t="s">
        <v>34</v>
      </c>
      <c r="F1025" s="146"/>
      <c r="G1025" s="345" t="s">
        <v>2855</v>
      </c>
      <c r="H1025" s="145" t="s">
        <v>2396</v>
      </c>
      <c r="I1025" s="146" t="s">
        <v>2475</v>
      </c>
      <c r="J1025" s="145" t="s">
        <v>2856</v>
      </c>
      <c r="K1025" s="145"/>
      <c r="L1025" s="16" t="str">
        <f>HYPERLINK("http:/kameyamarekihaku.jp/sisi/tuusiHP_next/kingendai/image/09/gi.htm?pf=3089sh009-04.JPG&amp;?pn=%E5%9C%B0%E8%94%B5%E9%99%A2%E6%84%9B%E6%9F%93%E5%A0%82%EF%BC%88%E8%AD%B7%E6%91%A9%E5%A0%82%EF%BC%89%E3%81%AE%E5%8F%A4%E5%86%99%E7%9C%9F","画像史料：地蔵院愛染堂（護摩堂、古写真）")</f>
        <v>画像史料：地蔵院愛染堂（護摩堂、古写真）</v>
      </c>
      <c r="M1025" s="145" t="s">
        <v>2856</v>
      </c>
      <c r="N1025" s="32" t="s">
        <v>2857</v>
      </c>
      <c r="O1025" s="32" t="s">
        <v>774</v>
      </c>
      <c r="P1025" s="33" t="str">
        <f t="shared" si="16"/>
        <v>亀山のいいとこさがし／建物</v>
      </c>
      <c r="Q1025" s="17" t="str">
        <f>HYPERLINK("http:/kameyamarekihaku.jp/sisi/tuusiHP_next/tuusi-index.html#kingendai0904","市史通史編 近代・現代第9章第 4節")</f>
        <v>市史通史編 近代・現代第9章第 4節</v>
      </c>
      <c r="R1025" s="347" t="s">
        <v>2858</v>
      </c>
    </row>
    <row r="1026" spans="1:18" s="139" customFormat="1" ht="62.25" customHeight="1" x14ac:dyDescent="0.15">
      <c r="A1026" s="151"/>
      <c r="B1026" s="151"/>
      <c r="C1026" s="152"/>
      <c r="D1026" s="152"/>
      <c r="E1026" s="153"/>
      <c r="F1026" s="152"/>
      <c r="G1026" s="353"/>
      <c r="H1026" s="151"/>
      <c r="I1026" s="152"/>
      <c r="J1026" s="151"/>
      <c r="K1026" s="151"/>
      <c r="L1026" s="18"/>
      <c r="M1026" s="151"/>
      <c r="N1026" s="29" t="s">
        <v>2859</v>
      </c>
      <c r="O1026" s="29" t="s">
        <v>776</v>
      </c>
      <c r="P1026" s="30" t="str">
        <f t="shared" si="16"/>
        <v>亀山のいいとこさがし／景色のよいところや歴史を知る手掛かりとなるもの／関宿のまちなみ／新所のまちなみ／地蔵院本堂・鐘楼・愛染堂</v>
      </c>
      <c r="Q1026" s="10"/>
      <c r="R1026" s="348"/>
    </row>
    <row r="1027" spans="1:18" s="139" customFormat="1" ht="27.6" customHeight="1" x14ac:dyDescent="0.15">
      <c r="A1027" s="142" t="s">
        <v>2375</v>
      </c>
      <c r="B1027" s="142">
        <v>20</v>
      </c>
      <c r="C1027" s="143" t="s">
        <v>2854</v>
      </c>
      <c r="D1027" s="143">
        <v>1950</v>
      </c>
      <c r="E1027" s="144" t="s">
        <v>20</v>
      </c>
      <c r="F1027" s="143"/>
      <c r="G1027" s="143" t="s">
        <v>2860</v>
      </c>
      <c r="H1027" s="142" t="s">
        <v>2396</v>
      </c>
      <c r="I1027" s="143" t="s">
        <v>2861</v>
      </c>
      <c r="J1027" s="142" t="s">
        <v>2862</v>
      </c>
      <c r="K1027" s="142"/>
      <c r="L1027" s="142"/>
      <c r="M1027" s="142"/>
      <c r="N1027" s="12"/>
      <c r="O1027" s="12" t="e">
        <v>#VALUE!</v>
      </c>
      <c r="P1027" s="13" t="str">
        <f t="shared" si="16"/>
        <v/>
      </c>
      <c r="Q1027" s="158"/>
      <c r="R1027" s="142" t="s">
        <v>2371</v>
      </c>
    </row>
    <row r="1028" spans="1:18" s="139" customFormat="1" ht="28.5" customHeight="1" x14ac:dyDescent="0.15">
      <c r="A1028" s="142" t="s">
        <v>2375</v>
      </c>
      <c r="B1028" s="142">
        <v>20</v>
      </c>
      <c r="C1028" s="143" t="s">
        <v>2854</v>
      </c>
      <c r="D1028" s="143">
        <v>1950</v>
      </c>
      <c r="E1028" s="144" t="s">
        <v>20</v>
      </c>
      <c r="F1028" s="143"/>
      <c r="G1028" s="143" t="s">
        <v>2863</v>
      </c>
      <c r="H1028" s="142" t="s">
        <v>464</v>
      </c>
      <c r="I1028" s="143" t="s">
        <v>394</v>
      </c>
      <c r="J1028" s="142" t="s">
        <v>2864</v>
      </c>
      <c r="K1028" s="142"/>
      <c r="L1028" s="142"/>
      <c r="M1028" s="142"/>
      <c r="N1028" s="12" t="s">
        <v>2865</v>
      </c>
      <c r="O1028" s="12" t="s">
        <v>2731</v>
      </c>
      <c r="P1028" s="13" t="str">
        <f t="shared" si="16"/>
        <v>日本の歴史の中の亀山／現代の亀山／教育と医療・福祉／保育園</v>
      </c>
      <c r="Q1028" s="158"/>
      <c r="R1028" s="142" t="s">
        <v>2866</v>
      </c>
    </row>
    <row r="1029" spans="1:18" s="139" customFormat="1" ht="28.5" customHeight="1" x14ac:dyDescent="0.15">
      <c r="A1029" s="142" t="s">
        <v>2375</v>
      </c>
      <c r="B1029" s="142">
        <v>20</v>
      </c>
      <c r="C1029" s="143" t="s">
        <v>2867</v>
      </c>
      <c r="D1029" s="143">
        <v>1950</v>
      </c>
      <c r="E1029" s="144" t="s">
        <v>20</v>
      </c>
      <c r="F1029" s="143"/>
      <c r="G1029" s="143" t="s">
        <v>2868</v>
      </c>
      <c r="H1029" s="142"/>
      <c r="I1029" s="143"/>
      <c r="J1029" s="142"/>
      <c r="K1029" s="142"/>
      <c r="L1029" s="142"/>
      <c r="M1029" s="142"/>
      <c r="N1029" s="12"/>
      <c r="O1029" s="12" t="e">
        <v>#VALUE!</v>
      </c>
      <c r="P1029" s="13" t="str">
        <f t="shared" ref="P1029:P1092" si="17">IFERROR(HYPERLINK(O1029,N1029),"")</f>
        <v/>
      </c>
      <c r="Q1029" s="158"/>
      <c r="R1029" s="142" t="s">
        <v>2365</v>
      </c>
    </row>
    <row r="1030" spans="1:18" s="139" customFormat="1" ht="43.5" customHeight="1" x14ac:dyDescent="0.15">
      <c r="A1030" s="142" t="s">
        <v>2375</v>
      </c>
      <c r="B1030" s="142">
        <v>20</v>
      </c>
      <c r="C1030" s="143" t="s">
        <v>2867</v>
      </c>
      <c r="D1030" s="143">
        <v>1950</v>
      </c>
      <c r="E1030" s="144" t="s">
        <v>20</v>
      </c>
      <c r="F1030" s="143"/>
      <c r="G1030" s="143" t="s">
        <v>2869</v>
      </c>
      <c r="H1030" s="142" t="s">
        <v>2870</v>
      </c>
      <c r="I1030" s="143" t="s">
        <v>2871</v>
      </c>
      <c r="J1030" s="142" t="s">
        <v>2872</v>
      </c>
      <c r="K1030" s="142"/>
      <c r="L1030" s="142"/>
      <c r="M1030" s="142"/>
      <c r="N1030" s="12"/>
      <c r="O1030" s="12" t="e">
        <v>#VALUE!</v>
      </c>
      <c r="P1030" s="13" t="str">
        <f t="shared" si="17"/>
        <v/>
      </c>
      <c r="Q1030" s="158"/>
      <c r="R1030" s="142" t="s">
        <v>2873</v>
      </c>
    </row>
    <row r="1031" spans="1:18" s="139" customFormat="1" ht="28.5" customHeight="1" x14ac:dyDescent="0.15">
      <c r="A1031" s="142" t="s">
        <v>2375</v>
      </c>
      <c r="B1031" s="142">
        <v>20</v>
      </c>
      <c r="C1031" s="143" t="s">
        <v>2867</v>
      </c>
      <c r="D1031" s="143">
        <v>1950</v>
      </c>
      <c r="E1031" s="144" t="s">
        <v>20</v>
      </c>
      <c r="F1031" s="143"/>
      <c r="G1031" s="143" t="s">
        <v>2874</v>
      </c>
      <c r="H1031" s="142" t="s">
        <v>2512</v>
      </c>
      <c r="I1031" s="143" t="s">
        <v>2360</v>
      </c>
      <c r="J1031" s="142" t="s">
        <v>2875</v>
      </c>
      <c r="K1031" s="142"/>
      <c r="L1031" s="142"/>
      <c r="M1031" s="142"/>
      <c r="N1031" s="12"/>
      <c r="O1031" s="12" t="e">
        <v>#VALUE!</v>
      </c>
      <c r="P1031" s="13" t="str">
        <f t="shared" si="17"/>
        <v/>
      </c>
      <c r="Q1031" s="158"/>
      <c r="R1031" s="142" t="s">
        <v>2365</v>
      </c>
    </row>
    <row r="1032" spans="1:18" s="139" customFormat="1" ht="15" customHeight="1" x14ac:dyDescent="0.15">
      <c r="A1032" s="142" t="s">
        <v>2375</v>
      </c>
      <c r="B1032" s="142">
        <v>20</v>
      </c>
      <c r="C1032" s="143" t="s">
        <v>2867</v>
      </c>
      <c r="D1032" s="143">
        <v>1950</v>
      </c>
      <c r="E1032" s="144" t="s">
        <v>20</v>
      </c>
      <c r="F1032" s="143"/>
      <c r="G1032" s="143" t="s">
        <v>2876</v>
      </c>
      <c r="H1032" s="142"/>
      <c r="I1032" s="143"/>
      <c r="J1032" s="142"/>
      <c r="K1032" s="142"/>
      <c r="L1032" s="142"/>
      <c r="M1032" s="142"/>
      <c r="N1032" s="12"/>
      <c r="O1032" s="12" t="e">
        <v>#VALUE!</v>
      </c>
      <c r="P1032" s="13" t="str">
        <f t="shared" si="17"/>
        <v/>
      </c>
      <c r="Q1032" s="158"/>
      <c r="R1032" s="142" t="s">
        <v>2877</v>
      </c>
    </row>
    <row r="1033" spans="1:18" s="139" customFormat="1" ht="30.75" customHeight="1" x14ac:dyDescent="0.15">
      <c r="A1033" s="142" t="s">
        <v>2375</v>
      </c>
      <c r="B1033" s="142">
        <v>20</v>
      </c>
      <c r="C1033" s="143" t="s">
        <v>2867</v>
      </c>
      <c r="D1033" s="143">
        <v>1950</v>
      </c>
      <c r="E1033" s="144" t="s">
        <v>20</v>
      </c>
      <c r="F1033" s="143"/>
      <c r="G1033" s="143" t="s">
        <v>2878</v>
      </c>
      <c r="H1033" s="142"/>
      <c r="I1033" s="143"/>
      <c r="J1033" s="142"/>
      <c r="K1033" s="142"/>
      <c r="L1033" s="142"/>
      <c r="M1033" s="142"/>
      <c r="N1033" s="12"/>
      <c r="O1033" s="12" t="e">
        <v>#VALUE!</v>
      </c>
      <c r="P1033" s="13" t="str">
        <f t="shared" si="17"/>
        <v/>
      </c>
      <c r="Q1033" s="158"/>
      <c r="R1033" s="142" t="s">
        <v>2879</v>
      </c>
    </row>
    <row r="1034" spans="1:18" s="139" customFormat="1" ht="27.75" customHeight="1" x14ac:dyDescent="0.15">
      <c r="A1034" s="142" t="s">
        <v>2375</v>
      </c>
      <c r="B1034" s="142">
        <v>20</v>
      </c>
      <c r="C1034" s="143" t="s">
        <v>2867</v>
      </c>
      <c r="D1034" s="143">
        <v>1950</v>
      </c>
      <c r="E1034" s="144" t="s">
        <v>20</v>
      </c>
      <c r="F1034" s="143"/>
      <c r="G1034" s="143" t="s">
        <v>2880</v>
      </c>
      <c r="H1034" s="142" t="s">
        <v>250</v>
      </c>
      <c r="I1034" s="143" t="s">
        <v>2881</v>
      </c>
      <c r="J1034" s="142" t="s">
        <v>2882</v>
      </c>
      <c r="K1034" s="142"/>
      <c r="L1034" s="142" t="s">
        <v>2883</v>
      </c>
      <c r="M1034" s="142"/>
      <c r="N1034" s="23" t="s">
        <v>2884</v>
      </c>
      <c r="O1034" s="23" t="s">
        <v>2885</v>
      </c>
      <c r="P1034" s="24" t="str">
        <f t="shared" si="17"/>
        <v>日本の歴史の中の亀山／現代の亀山／産業／商業／商工会議所</v>
      </c>
      <c r="Q1034" s="25" t="str">
        <f>HYPERLINK("http:/kameyamarekihaku.jp/sisi/tuusiHP_next/tuusi-index.html#kingendai0903","市史通史編 近代・現代第9章第3節")</f>
        <v>市史通史編 近代・現代第9章第3節</v>
      </c>
      <c r="R1034" s="142" t="s">
        <v>2886</v>
      </c>
    </row>
    <row r="1035" spans="1:18" s="139" customFormat="1" ht="28.5" customHeight="1" x14ac:dyDescent="0.15">
      <c r="A1035" s="142" t="s">
        <v>2375</v>
      </c>
      <c r="B1035" s="142">
        <v>20</v>
      </c>
      <c r="C1035" s="143" t="s">
        <v>2887</v>
      </c>
      <c r="D1035" s="143">
        <v>1951</v>
      </c>
      <c r="E1035" s="144" t="s">
        <v>59</v>
      </c>
      <c r="F1035" s="143" t="s">
        <v>2888</v>
      </c>
      <c r="G1035" s="143"/>
      <c r="H1035" s="142"/>
      <c r="I1035" s="143"/>
      <c r="J1035" s="120"/>
      <c r="K1035" s="142"/>
      <c r="L1035" s="142"/>
      <c r="M1035" s="142"/>
      <c r="N1035" s="12"/>
      <c r="O1035" s="12" t="e">
        <v>#VALUE!</v>
      </c>
      <c r="P1035" s="13" t="str">
        <f t="shared" si="17"/>
        <v/>
      </c>
      <c r="Q1035" s="192"/>
      <c r="R1035" s="142"/>
    </row>
    <row r="1036" spans="1:18" s="139" customFormat="1" ht="15" customHeight="1" x14ac:dyDescent="0.15">
      <c r="A1036" s="142" t="s">
        <v>2375</v>
      </c>
      <c r="B1036" s="142">
        <v>20</v>
      </c>
      <c r="C1036" s="143" t="s">
        <v>2887</v>
      </c>
      <c r="D1036" s="143">
        <v>1951</v>
      </c>
      <c r="E1036" s="144" t="s">
        <v>20</v>
      </c>
      <c r="F1036" s="143"/>
      <c r="G1036" s="143" t="s">
        <v>2889</v>
      </c>
      <c r="H1036" s="142" t="s">
        <v>464</v>
      </c>
      <c r="I1036" s="143" t="s">
        <v>1911</v>
      </c>
      <c r="J1036" s="120" t="s">
        <v>2890</v>
      </c>
      <c r="K1036" s="142"/>
      <c r="L1036" s="142"/>
      <c r="M1036" s="142"/>
      <c r="N1036" s="12"/>
      <c r="O1036" s="12" t="e">
        <v>#VALUE!</v>
      </c>
      <c r="P1036" s="13" t="str">
        <f t="shared" si="17"/>
        <v/>
      </c>
      <c r="Q1036" s="192"/>
      <c r="R1036" s="142" t="s">
        <v>2841</v>
      </c>
    </row>
    <row r="1037" spans="1:18" s="139" customFormat="1" ht="65.45" customHeight="1" x14ac:dyDescent="0.15">
      <c r="A1037" s="142" t="s">
        <v>2375</v>
      </c>
      <c r="B1037" s="142">
        <v>20</v>
      </c>
      <c r="C1037" s="143" t="s">
        <v>2887</v>
      </c>
      <c r="D1037" s="143">
        <v>1951</v>
      </c>
      <c r="E1037" s="144" t="s">
        <v>20</v>
      </c>
      <c r="F1037" s="143"/>
      <c r="G1037" s="143" t="s">
        <v>2891</v>
      </c>
      <c r="H1037" s="142" t="s">
        <v>250</v>
      </c>
      <c r="I1037" s="143" t="s">
        <v>2247</v>
      </c>
      <c r="J1037" s="120" t="s">
        <v>2892</v>
      </c>
      <c r="K1037" s="142"/>
      <c r="L1037" s="142"/>
      <c r="M1037" s="142"/>
      <c r="N1037" s="23" t="s">
        <v>2700</v>
      </c>
      <c r="O1037" s="23" t="s">
        <v>2421</v>
      </c>
      <c r="P1037" s="24" t="str">
        <f t="shared" si="17"/>
        <v>日本の歴史の中の亀山／現代の亀山／教育と医療・福祉／幼稚園</v>
      </c>
      <c r="Q1037" s="25" t="str">
        <f>HYPERLINK("http:/kameyamarekihaku.jp/sisi/RekisiHP/kingendai/quiz/school/schoo01l.html","市史近代・現代ページ 学校クイズ")</f>
        <v>市史近代・現代ページ 学校クイズ</v>
      </c>
      <c r="R1037" s="142" t="s">
        <v>2365</v>
      </c>
    </row>
    <row r="1038" spans="1:18" s="139" customFormat="1" ht="28.5" customHeight="1" x14ac:dyDescent="0.15">
      <c r="A1038" s="142" t="s">
        <v>2375</v>
      </c>
      <c r="B1038" s="142">
        <v>20</v>
      </c>
      <c r="C1038" s="143" t="s">
        <v>2887</v>
      </c>
      <c r="D1038" s="143">
        <v>1951</v>
      </c>
      <c r="E1038" s="144" t="s">
        <v>20</v>
      </c>
      <c r="F1038" s="143"/>
      <c r="G1038" s="143" t="s">
        <v>2893</v>
      </c>
      <c r="H1038" s="142" t="s">
        <v>464</v>
      </c>
      <c r="I1038" s="143" t="s">
        <v>1157</v>
      </c>
      <c r="J1038" s="120" t="s">
        <v>2894</v>
      </c>
      <c r="K1038" s="142"/>
      <c r="L1038" s="142"/>
      <c r="M1038" s="142"/>
      <c r="N1038" s="12"/>
      <c r="O1038" s="12" t="e">
        <v>#VALUE!</v>
      </c>
      <c r="P1038" s="13" t="str">
        <f t="shared" si="17"/>
        <v/>
      </c>
      <c r="Q1038" s="192"/>
      <c r="R1038" s="142" t="s">
        <v>2895</v>
      </c>
    </row>
    <row r="1039" spans="1:18" s="139" customFormat="1" ht="43.9" customHeight="1" x14ac:dyDescent="0.15">
      <c r="A1039" s="142" t="s">
        <v>2375</v>
      </c>
      <c r="B1039" s="142">
        <v>20</v>
      </c>
      <c r="C1039" s="143" t="s">
        <v>2887</v>
      </c>
      <c r="D1039" s="143">
        <v>1951</v>
      </c>
      <c r="E1039" s="144" t="s">
        <v>20</v>
      </c>
      <c r="F1039" s="143"/>
      <c r="G1039" s="143" t="s">
        <v>2896</v>
      </c>
      <c r="H1039" s="142" t="s">
        <v>464</v>
      </c>
      <c r="I1039" s="143" t="s">
        <v>2360</v>
      </c>
      <c r="J1039" s="120" t="s">
        <v>2897</v>
      </c>
      <c r="K1039" s="142"/>
      <c r="L1039" s="142"/>
      <c r="M1039" s="142"/>
      <c r="N1039" s="23"/>
      <c r="O1039" s="23" t="e">
        <v>#VALUE!</v>
      </c>
      <c r="P1039" s="24" t="str">
        <f t="shared" si="17"/>
        <v/>
      </c>
      <c r="Q1039" s="25" t="str">
        <f>HYPERLINK("http://kameyamarekihaku.jp/sisi/RekisiHP/kingendai/quiz/tatemono/tatemono.html","市史近代・現代ページ 建物クイズ")</f>
        <v>市史近代・現代ページ 建物クイズ</v>
      </c>
      <c r="R1039" s="142" t="s">
        <v>2768</v>
      </c>
    </row>
    <row r="1040" spans="1:18" s="139" customFormat="1" ht="43.5" customHeight="1" x14ac:dyDescent="0.15">
      <c r="A1040" s="142" t="s">
        <v>2375</v>
      </c>
      <c r="B1040" s="142">
        <v>20</v>
      </c>
      <c r="C1040" s="143" t="s">
        <v>2887</v>
      </c>
      <c r="D1040" s="143">
        <v>1951</v>
      </c>
      <c r="E1040" s="144" t="s">
        <v>20</v>
      </c>
      <c r="F1040" s="143"/>
      <c r="G1040" s="143" t="s">
        <v>2898</v>
      </c>
      <c r="H1040" s="142" t="s">
        <v>199</v>
      </c>
      <c r="I1040" s="143" t="s">
        <v>2899</v>
      </c>
      <c r="J1040" s="120" t="s">
        <v>2900</v>
      </c>
      <c r="K1040" s="142"/>
      <c r="L1040" s="142"/>
      <c r="M1040" s="142"/>
      <c r="N1040" s="23" t="s">
        <v>2789</v>
      </c>
      <c r="O1040" s="23" t="s">
        <v>2790</v>
      </c>
      <c r="P1040" s="24" t="str">
        <f t="shared" si="17"/>
        <v>学校のあゆみ／関中学校のれきし</v>
      </c>
      <c r="Q1040" s="47" t="str">
        <f>HYPERLINK("http:/kameyamarekihaku.jp/sisi/RekisiHP/kingendai/quiz/school/schoo01l.html","市史近代・現代ページ 学校クイズ")</f>
        <v>市史近代・現代ページ 学校クイズ</v>
      </c>
      <c r="R1040" s="142" t="s">
        <v>2901</v>
      </c>
    </row>
    <row r="1041" spans="1:18" s="139" customFormat="1" ht="15" customHeight="1" x14ac:dyDescent="0.15">
      <c r="A1041" s="142" t="s">
        <v>2375</v>
      </c>
      <c r="B1041" s="142">
        <v>20</v>
      </c>
      <c r="C1041" s="143" t="s">
        <v>2887</v>
      </c>
      <c r="D1041" s="143">
        <v>1951</v>
      </c>
      <c r="E1041" s="144" t="s">
        <v>20</v>
      </c>
      <c r="F1041" s="143"/>
      <c r="G1041" s="143" t="s">
        <v>2902</v>
      </c>
      <c r="H1041" s="142" t="s">
        <v>250</v>
      </c>
      <c r="I1041" s="143" t="s">
        <v>2850</v>
      </c>
      <c r="J1041" s="142" t="s">
        <v>2903</v>
      </c>
      <c r="K1041" s="142"/>
      <c r="L1041" s="142"/>
      <c r="M1041" s="142"/>
      <c r="N1041" s="12"/>
      <c r="O1041" s="12" t="e">
        <v>#VALUE!</v>
      </c>
      <c r="P1041" s="13" t="str">
        <f t="shared" si="17"/>
        <v/>
      </c>
      <c r="Q1041" s="158"/>
      <c r="R1041" s="142" t="s">
        <v>2768</v>
      </c>
    </row>
    <row r="1042" spans="1:18" s="139" customFormat="1" ht="28.5" customHeight="1" x14ac:dyDescent="0.15">
      <c r="A1042" s="142" t="s">
        <v>2375</v>
      </c>
      <c r="B1042" s="142">
        <v>20</v>
      </c>
      <c r="C1042" s="143" t="s">
        <v>2887</v>
      </c>
      <c r="D1042" s="143">
        <v>1951</v>
      </c>
      <c r="E1042" s="144" t="s">
        <v>20</v>
      </c>
      <c r="F1042" s="143"/>
      <c r="G1042" s="143" t="s">
        <v>2904</v>
      </c>
      <c r="H1042" s="142" t="s">
        <v>2905</v>
      </c>
      <c r="I1042" s="143" t="s">
        <v>2906</v>
      </c>
      <c r="J1042" s="120" t="s">
        <v>2907</v>
      </c>
      <c r="K1042" s="142"/>
      <c r="L1042" s="142"/>
      <c r="M1042" s="142"/>
      <c r="N1042" s="12" t="s">
        <v>2797</v>
      </c>
      <c r="O1042" s="12" t="s">
        <v>2792</v>
      </c>
      <c r="P1042" s="13" t="str">
        <f t="shared" si="17"/>
        <v>学校のあゆみ／中部中学校のれきし</v>
      </c>
      <c r="Q1042" s="192"/>
      <c r="R1042" s="142" t="s">
        <v>2908</v>
      </c>
    </row>
    <row r="1043" spans="1:18" s="139" customFormat="1" ht="39.4" customHeight="1" x14ac:dyDescent="0.15">
      <c r="A1043" s="142" t="s">
        <v>2375</v>
      </c>
      <c r="B1043" s="142">
        <v>20</v>
      </c>
      <c r="C1043" s="143" t="s">
        <v>2887</v>
      </c>
      <c r="D1043" s="143">
        <v>1951</v>
      </c>
      <c r="E1043" s="144" t="s">
        <v>20</v>
      </c>
      <c r="F1043" s="143"/>
      <c r="G1043" s="143" t="s">
        <v>2909</v>
      </c>
      <c r="H1043" s="142" t="s">
        <v>464</v>
      </c>
      <c r="I1043" s="143" t="s">
        <v>2910</v>
      </c>
      <c r="J1043" s="120" t="s">
        <v>2911</v>
      </c>
      <c r="K1043" s="142" t="s">
        <v>2912</v>
      </c>
      <c r="L1043" s="142" t="s">
        <v>2913</v>
      </c>
      <c r="M1043" s="142"/>
      <c r="N1043" s="12"/>
      <c r="O1043" s="12" t="e">
        <v>#VALUE!</v>
      </c>
      <c r="P1043" s="13" t="str">
        <f t="shared" si="17"/>
        <v/>
      </c>
      <c r="Q1043" s="192"/>
      <c r="R1043" s="142" t="s">
        <v>2811</v>
      </c>
    </row>
    <row r="1044" spans="1:18" s="139" customFormat="1" ht="15" customHeight="1" x14ac:dyDescent="0.15">
      <c r="A1044" s="142" t="s">
        <v>2375</v>
      </c>
      <c r="B1044" s="142">
        <v>20</v>
      </c>
      <c r="C1044" s="143" t="s">
        <v>2887</v>
      </c>
      <c r="D1044" s="143">
        <v>1951</v>
      </c>
      <c r="E1044" s="144" t="s">
        <v>59</v>
      </c>
      <c r="F1044" s="143" t="s">
        <v>2914</v>
      </c>
      <c r="G1044" s="143"/>
      <c r="H1044" s="142"/>
      <c r="I1044" s="143"/>
      <c r="J1044" s="142"/>
      <c r="K1044" s="142"/>
      <c r="L1044" s="142"/>
      <c r="M1044" s="142"/>
      <c r="N1044" s="12"/>
      <c r="O1044" s="12" t="e">
        <v>#VALUE!</v>
      </c>
      <c r="P1044" s="13" t="str">
        <f t="shared" si="17"/>
        <v/>
      </c>
      <c r="Q1044" s="158"/>
      <c r="R1044" s="142"/>
    </row>
    <row r="1045" spans="1:18" s="139" customFormat="1" ht="28.5" customHeight="1" x14ac:dyDescent="0.15">
      <c r="A1045" s="142" t="s">
        <v>2375</v>
      </c>
      <c r="B1045" s="142">
        <v>20</v>
      </c>
      <c r="C1045" s="143" t="s">
        <v>2915</v>
      </c>
      <c r="D1045" s="143">
        <v>1952</v>
      </c>
      <c r="E1045" s="144" t="s">
        <v>20</v>
      </c>
      <c r="F1045" s="143"/>
      <c r="G1045" s="143" t="s">
        <v>2916</v>
      </c>
      <c r="H1045" s="142" t="s">
        <v>464</v>
      </c>
      <c r="I1045" s="143" t="s">
        <v>2917</v>
      </c>
      <c r="J1045" s="142" t="s">
        <v>2918</v>
      </c>
      <c r="K1045" s="142"/>
      <c r="L1045" s="142"/>
      <c r="M1045" s="142"/>
      <c r="N1045" s="12" t="s">
        <v>2919</v>
      </c>
      <c r="O1045" s="12" t="s">
        <v>2731</v>
      </c>
      <c r="P1045" s="13" t="str">
        <f t="shared" si="17"/>
        <v>日本の歴史の中の亀山／現代の亀山／教育と医療・福祉／保育園</v>
      </c>
      <c r="Q1045" s="158"/>
      <c r="R1045" s="142" t="s">
        <v>2920</v>
      </c>
    </row>
    <row r="1046" spans="1:18" s="139" customFormat="1" ht="52.35" customHeight="1" x14ac:dyDescent="0.15">
      <c r="A1046" s="142" t="s">
        <v>2375</v>
      </c>
      <c r="B1046" s="142">
        <v>20</v>
      </c>
      <c r="C1046" s="143" t="s">
        <v>2915</v>
      </c>
      <c r="D1046" s="143">
        <v>1952</v>
      </c>
      <c r="E1046" s="144" t="s">
        <v>20</v>
      </c>
      <c r="F1046" s="143"/>
      <c r="G1046" s="143" t="s">
        <v>2921</v>
      </c>
      <c r="H1046" s="142"/>
      <c r="I1046" s="143"/>
      <c r="J1046" s="142" t="s">
        <v>2922</v>
      </c>
      <c r="K1046" s="142"/>
      <c r="L1046" s="142"/>
      <c r="M1046" s="142"/>
      <c r="N1046" s="12"/>
      <c r="O1046" s="12" t="e">
        <v>#VALUE!</v>
      </c>
      <c r="P1046" s="13" t="str">
        <f t="shared" si="17"/>
        <v/>
      </c>
      <c r="Q1046" s="158"/>
      <c r="R1046" s="142" t="s">
        <v>2841</v>
      </c>
    </row>
    <row r="1047" spans="1:18" s="139" customFormat="1" ht="28.15" customHeight="1" x14ac:dyDescent="0.15">
      <c r="A1047" s="142" t="s">
        <v>2375</v>
      </c>
      <c r="B1047" s="142">
        <v>20</v>
      </c>
      <c r="C1047" s="143" t="s">
        <v>2915</v>
      </c>
      <c r="D1047" s="143">
        <v>1952</v>
      </c>
      <c r="E1047" s="144" t="s">
        <v>20</v>
      </c>
      <c r="F1047" s="143"/>
      <c r="G1047" s="143" t="s">
        <v>2923</v>
      </c>
      <c r="H1047" s="142"/>
      <c r="I1047" s="143"/>
      <c r="J1047" s="142" t="s">
        <v>2924</v>
      </c>
      <c r="K1047" s="142"/>
      <c r="L1047" s="142"/>
      <c r="M1047" s="142"/>
      <c r="N1047" s="12" t="s">
        <v>2810</v>
      </c>
      <c r="O1047" s="12" t="s">
        <v>2484</v>
      </c>
      <c r="P1047" s="13" t="str">
        <f t="shared" si="17"/>
        <v>日本の歴史の中の亀山／現代の亀山／交通と通信／バス</v>
      </c>
      <c r="Q1047" s="158"/>
      <c r="R1047" s="142" t="s">
        <v>2365</v>
      </c>
    </row>
    <row r="1048" spans="1:18" s="139" customFormat="1" ht="47.25" customHeight="1" x14ac:dyDescent="0.15">
      <c r="A1048" s="142" t="s">
        <v>2375</v>
      </c>
      <c r="B1048" s="142">
        <v>20</v>
      </c>
      <c r="C1048" s="143" t="s">
        <v>2915</v>
      </c>
      <c r="D1048" s="143">
        <v>1952</v>
      </c>
      <c r="E1048" s="144" t="s">
        <v>20</v>
      </c>
      <c r="F1048" s="143"/>
      <c r="G1048" s="143" t="s">
        <v>2925</v>
      </c>
      <c r="H1048" s="142" t="s">
        <v>250</v>
      </c>
      <c r="I1048" s="143" t="s">
        <v>2247</v>
      </c>
      <c r="J1048" s="142" t="s">
        <v>2926</v>
      </c>
      <c r="K1048" s="142"/>
      <c r="L1048" s="142" t="s">
        <v>2927</v>
      </c>
      <c r="M1048" s="142"/>
      <c r="N1048" s="12"/>
      <c r="O1048" s="12" t="e">
        <v>#VALUE!</v>
      </c>
      <c r="P1048" s="13" t="str">
        <f t="shared" si="17"/>
        <v/>
      </c>
      <c r="Q1048" s="158"/>
      <c r="R1048" s="142" t="s">
        <v>2928</v>
      </c>
    </row>
    <row r="1049" spans="1:18" s="139" customFormat="1" ht="28.5" customHeight="1" x14ac:dyDescent="0.15">
      <c r="A1049" s="142" t="s">
        <v>2375</v>
      </c>
      <c r="B1049" s="142">
        <v>20</v>
      </c>
      <c r="C1049" s="143" t="s">
        <v>2929</v>
      </c>
      <c r="D1049" s="143">
        <v>1953</v>
      </c>
      <c r="E1049" s="144" t="s">
        <v>20</v>
      </c>
      <c r="F1049" s="238"/>
      <c r="G1049" s="143" t="s">
        <v>2930</v>
      </c>
      <c r="H1049" s="142" t="s">
        <v>632</v>
      </c>
      <c r="I1049" s="143" t="s">
        <v>2931</v>
      </c>
      <c r="J1049" s="142" t="s">
        <v>2932</v>
      </c>
      <c r="K1049" s="142"/>
      <c r="L1049" s="142"/>
      <c r="M1049" s="142"/>
      <c r="N1049" s="12" t="s">
        <v>2933</v>
      </c>
      <c r="O1049" s="12" t="s">
        <v>365</v>
      </c>
      <c r="P1049" s="13" t="str">
        <f t="shared" si="17"/>
        <v>亀山のいいとこさがし／景色のよいところや歴史を知る手掛かりとなるもの／川</v>
      </c>
      <c r="Q1049" s="158"/>
      <c r="R1049" s="142" t="s">
        <v>2365</v>
      </c>
    </row>
    <row r="1050" spans="1:18" s="139" customFormat="1" ht="28.5" customHeight="1" x14ac:dyDescent="0.15">
      <c r="A1050" s="142" t="s">
        <v>2375</v>
      </c>
      <c r="B1050" s="142">
        <v>20</v>
      </c>
      <c r="C1050" s="143" t="s">
        <v>2934</v>
      </c>
      <c r="D1050" s="143">
        <v>1953</v>
      </c>
      <c r="E1050" s="144" t="s">
        <v>20</v>
      </c>
      <c r="F1050" s="143"/>
      <c r="G1050" s="143" t="s">
        <v>2935</v>
      </c>
      <c r="H1050" s="142"/>
      <c r="I1050" s="143"/>
      <c r="J1050" s="142"/>
      <c r="K1050" s="142"/>
      <c r="L1050" s="142"/>
      <c r="M1050" s="142"/>
      <c r="N1050" s="23"/>
      <c r="O1050" s="23" t="e">
        <v>#VALUE!</v>
      </c>
      <c r="P1050" s="24" t="str">
        <f t="shared" si="17"/>
        <v/>
      </c>
      <c r="Q1050" s="25" t="str">
        <f>HYPERLINK("http://kameyamarekihaku.jp/sisi/RekisiHP/kingendai/saigai/saigai-showa/saigai-showa.html","市史近代・現代ページ　亀山の災害一覧")</f>
        <v>市史近代・現代ページ　亀山の災害一覧</v>
      </c>
      <c r="R1050" s="142" t="s">
        <v>2936</v>
      </c>
    </row>
    <row r="1051" spans="1:18" s="139" customFormat="1" ht="28.5" customHeight="1" x14ac:dyDescent="0.15">
      <c r="A1051" s="142" t="s">
        <v>2375</v>
      </c>
      <c r="B1051" s="142">
        <v>20</v>
      </c>
      <c r="C1051" s="143" t="s">
        <v>2934</v>
      </c>
      <c r="D1051" s="143">
        <v>1953</v>
      </c>
      <c r="E1051" s="144" t="s">
        <v>20</v>
      </c>
      <c r="F1051" s="143"/>
      <c r="G1051" s="143" t="s">
        <v>2937</v>
      </c>
      <c r="H1051" s="142" t="s">
        <v>250</v>
      </c>
      <c r="I1051" s="143" t="s">
        <v>2247</v>
      </c>
      <c r="J1051" s="142" t="s">
        <v>2938</v>
      </c>
      <c r="K1051" s="142"/>
      <c r="L1051" s="142"/>
      <c r="M1051" s="142"/>
      <c r="N1051" s="12"/>
      <c r="O1051" s="12" t="e">
        <v>#VALUE!</v>
      </c>
      <c r="P1051" s="13" t="str">
        <f t="shared" si="17"/>
        <v/>
      </c>
      <c r="Q1051" s="158"/>
      <c r="R1051" s="142" t="s">
        <v>2936</v>
      </c>
    </row>
    <row r="1052" spans="1:18" s="139" customFormat="1" ht="15" customHeight="1" x14ac:dyDescent="0.15">
      <c r="A1052" s="142" t="s">
        <v>2375</v>
      </c>
      <c r="B1052" s="142">
        <v>20</v>
      </c>
      <c r="C1052" s="143" t="s">
        <v>2939</v>
      </c>
      <c r="D1052" s="143">
        <v>1953</v>
      </c>
      <c r="E1052" s="144" t="s">
        <v>59</v>
      </c>
      <c r="F1052" s="143" t="s">
        <v>2940</v>
      </c>
      <c r="G1052" s="143"/>
      <c r="H1052" s="142"/>
      <c r="I1052" s="143"/>
      <c r="J1052" s="142"/>
      <c r="K1052" s="142"/>
      <c r="L1052" s="142"/>
      <c r="M1052" s="142"/>
      <c r="N1052" s="12"/>
      <c r="O1052" s="12" t="e">
        <v>#VALUE!</v>
      </c>
      <c r="P1052" s="13" t="str">
        <f t="shared" si="17"/>
        <v/>
      </c>
      <c r="Q1052" s="158"/>
      <c r="R1052" s="142"/>
    </row>
    <row r="1053" spans="1:18" s="6" customFormat="1" ht="28.5" customHeight="1" x14ac:dyDescent="0.15">
      <c r="A1053" s="88" t="s">
        <v>2941</v>
      </c>
      <c r="B1053" s="88">
        <v>20</v>
      </c>
      <c r="C1053" s="163" t="s">
        <v>2939</v>
      </c>
      <c r="D1053" s="163">
        <v>1953</v>
      </c>
      <c r="E1053" s="147" t="s">
        <v>34</v>
      </c>
      <c r="F1053" s="163"/>
      <c r="G1053" s="163" t="s">
        <v>2942</v>
      </c>
      <c r="H1053" s="88" t="s">
        <v>464</v>
      </c>
      <c r="I1053" s="163" t="s">
        <v>947</v>
      </c>
      <c r="J1053" s="88" t="s">
        <v>2943</v>
      </c>
      <c r="K1053" s="88"/>
      <c r="L1053" s="16" t="str">
        <f>HYPERLINK("http://kameyamarekihaku.jp/sisi/koukoHP/archives/kamejyoufurusya/01/01-01/gi.html?pf=KJFRUS0101-01-002.jpg&amp;pn=%E6%9C%AC%E4%B8%B8-%E5%A4%9A%E9%96%80%E6%AB%93%EF%BC%88%E4%BF%AE%E7%90%86%E5%89%8D%EF%BC%89","画像史料：多門櫓（修理前）")</f>
        <v>画像史料：多門櫓（修理前）</v>
      </c>
      <c r="M1053" s="37" t="s">
        <v>2944</v>
      </c>
      <c r="N1053" s="32" t="s">
        <v>2945</v>
      </c>
      <c r="O1053" s="32" t="s">
        <v>2070</v>
      </c>
      <c r="P1053" s="33" t="str">
        <f t="shared" si="17"/>
        <v>亀山城と宿場／亀山城のつくり／櫓／多門櫓</v>
      </c>
      <c r="Q1053" s="48" t="str">
        <f>HYPERLINK("http:/kameyamarekihaku.jp/sisi/tuusiHP_next/tuusi-index.html#kingendai0904","市史通史編 近代・現代第9章第4節")</f>
        <v>市史通史編 近代・現代第9章第4節</v>
      </c>
      <c r="R1053" s="347" t="s">
        <v>2946</v>
      </c>
    </row>
    <row r="1054" spans="1:18" s="6" customFormat="1" ht="17.25" customHeight="1" x14ac:dyDescent="0.15">
      <c r="A1054" s="90"/>
      <c r="B1054" s="90"/>
      <c r="C1054" s="165"/>
      <c r="D1054" s="165"/>
      <c r="E1054" s="138"/>
      <c r="F1054" s="165"/>
      <c r="G1054" s="165"/>
      <c r="H1054" s="90"/>
      <c r="I1054" s="165"/>
      <c r="J1054" s="90"/>
      <c r="K1054" s="90"/>
      <c r="L1054" s="41" t="s">
        <v>2947</v>
      </c>
      <c r="M1054" s="39"/>
      <c r="N1054" s="317" t="s">
        <v>2948</v>
      </c>
      <c r="O1054" s="317" t="s">
        <v>687</v>
      </c>
      <c r="P1054" s="318" t="str">
        <f t="shared" si="17"/>
        <v>日本の歴史の中の亀山／中世の亀山／武士の台頭と亀山／仏教の広がり／石上寺文書</v>
      </c>
      <c r="Q1054" s="49" t="str">
        <f>HYPERLINK("http://kameyamarekihaku.jp/rekisi-hiroba/tyu-sei_monjo/web24_cyuseimonjyo/web24_cyuseimonjyo_indx.html","歴史広場　亀山市内にひろがる中世文書")</f>
        <v>歴史広場　亀山市内にひろがる中世文書</v>
      </c>
      <c r="R1054" s="332"/>
    </row>
    <row r="1055" spans="1:18" s="6" customFormat="1" ht="29.25" customHeight="1" x14ac:dyDescent="0.15">
      <c r="A1055" s="90"/>
      <c r="B1055" s="90"/>
      <c r="C1055" s="165"/>
      <c r="D1055" s="165"/>
      <c r="E1055" s="138"/>
      <c r="F1055" s="165"/>
      <c r="G1055" s="165"/>
      <c r="H1055" s="90"/>
      <c r="I1055" s="165"/>
      <c r="J1055" s="90"/>
      <c r="K1055" s="90"/>
      <c r="L1055" s="27"/>
      <c r="M1055" s="39"/>
      <c r="N1055" s="317"/>
      <c r="O1055" s="317" t="e">
        <v>#VALUE!</v>
      </c>
      <c r="P1055" s="318" t="str">
        <f t="shared" si="17"/>
        <v/>
      </c>
      <c r="Q1055" s="49" t="str">
        <f>HYPERLINK("http://www.kameyamarekihaku.jp/sisi/seckam3/chizushiro.php","市史考古分野(各コンテンツ)「亀山城跡を歩く」No.1")</f>
        <v>市史考古分野(各コンテンツ)「亀山城跡を歩く」No.1</v>
      </c>
      <c r="R1055" s="332"/>
    </row>
    <row r="1056" spans="1:18" s="6" customFormat="1" ht="21" customHeight="1" x14ac:dyDescent="0.15">
      <c r="A1056" s="90"/>
      <c r="B1056" s="90"/>
      <c r="C1056" s="165"/>
      <c r="D1056" s="165"/>
      <c r="E1056" s="138"/>
      <c r="F1056" s="165"/>
      <c r="G1056" s="165"/>
      <c r="H1056" s="90"/>
      <c r="I1056" s="165"/>
      <c r="J1056" s="90"/>
      <c r="K1056" s="90"/>
      <c r="L1056" s="27"/>
      <c r="M1056" s="39"/>
      <c r="N1056" s="19" t="s">
        <v>1083</v>
      </c>
      <c r="O1056" s="19" t="s">
        <v>774</v>
      </c>
      <c r="P1056" s="20" t="str">
        <f t="shared" si="17"/>
        <v>亀山のいいとこさがし／建物</v>
      </c>
      <c r="Q1056" s="49"/>
      <c r="R1056" s="79"/>
    </row>
    <row r="1057" spans="1:18" s="6" customFormat="1" ht="31.5" customHeight="1" x14ac:dyDescent="0.15">
      <c r="A1057" s="91"/>
      <c r="B1057" s="91"/>
      <c r="C1057" s="169"/>
      <c r="D1057" s="169"/>
      <c r="E1057" s="153"/>
      <c r="F1057" s="169"/>
      <c r="G1057" s="169"/>
      <c r="H1057" s="91"/>
      <c r="I1057" s="169"/>
      <c r="J1057" s="91"/>
      <c r="K1057" s="91"/>
      <c r="L1057" s="18"/>
      <c r="M1057" s="72"/>
      <c r="N1057" s="29" t="s">
        <v>2949</v>
      </c>
      <c r="O1057" s="29" t="s">
        <v>687</v>
      </c>
      <c r="P1057" s="30" t="str">
        <f t="shared" si="17"/>
        <v>亀山のいいとこさがし／手紙や本／手紙や記録など／石上寺文書</v>
      </c>
      <c r="Q1057" s="46"/>
      <c r="R1057" s="157"/>
    </row>
    <row r="1058" spans="1:18" s="6" customFormat="1" ht="65.45" customHeight="1" x14ac:dyDescent="0.15">
      <c r="A1058" s="120" t="s">
        <v>2950</v>
      </c>
      <c r="B1058" s="120">
        <v>20</v>
      </c>
      <c r="C1058" s="175" t="s">
        <v>2939</v>
      </c>
      <c r="D1058" s="175">
        <v>1953</v>
      </c>
      <c r="E1058" s="144" t="s">
        <v>20</v>
      </c>
      <c r="F1058" s="175"/>
      <c r="G1058" s="175" t="s">
        <v>2951</v>
      </c>
      <c r="H1058" s="120"/>
      <c r="I1058" s="175"/>
      <c r="J1058" s="120"/>
      <c r="K1058" s="120"/>
      <c r="L1058" s="120"/>
      <c r="M1058" s="120"/>
      <c r="N1058" s="12"/>
      <c r="O1058" s="12" t="e">
        <v>#VALUE!</v>
      </c>
      <c r="P1058" s="13" t="str">
        <f t="shared" si="17"/>
        <v/>
      </c>
      <c r="Q1058" s="192"/>
      <c r="R1058" s="142" t="s">
        <v>2936</v>
      </c>
    </row>
    <row r="1059" spans="1:18" s="6" customFormat="1" ht="28.5" customHeight="1" x14ac:dyDescent="0.15">
      <c r="A1059" s="120" t="s">
        <v>2950</v>
      </c>
      <c r="B1059" s="120">
        <v>20</v>
      </c>
      <c r="C1059" s="175" t="s">
        <v>2939</v>
      </c>
      <c r="D1059" s="175">
        <v>1953</v>
      </c>
      <c r="E1059" s="144" t="s">
        <v>20</v>
      </c>
      <c r="F1059" s="175"/>
      <c r="G1059" s="175" t="s">
        <v>2952</v>
      </c>
      <c r="H1059" s="120" t="s">
        <v>199</v>
      </c>
      <c r="I1059" s="175" t="s">
        <v>2367</v>
      </c>
      <c r="J1059" s="120" t="s">
        <v>2953</v>
      </c>
      <c r="K1059" s="120"/>
      <c r="L1059" s="120"/>
      <c r="M1059" s="120"/>
      <c r="N1059" s="12"/>
      <c r="O1059" s="12" t="e">
        <v>#VALUE!</v>
      </c>
      <c r="P1059" s="13" t="str">
        <f t="shared" si="17"/>
        <v/>
      </c>
      <c r="Q1059" s="192"/>
      <c r="R1059" s="142" t="s">
        <v>2371</v>
      </c>
    </row>
    <row r="1060" spans="1:18" s="139" customFormat="1" ht="15" customHeight="1" x14ac:dyDescent="0.15">
      <c r="A1060" s="142" t="s">
        <v>2375</v>
      </c>
      <c r="B1060" s="142">
        <v>20</v>
      </c>
      <c r="C1060" s="143" t="s">
        <v>2954</v>
      </c>
      <c r="D1060" s="143">
        <v>1954</v>
      </c>
      <c r="E1060" s="144" t="s">
        <v>20</v>
      </c>
      <c r="F1060" s="161" t="s">
        <v>2955</v>
      </c>
      <c r="G1060" s="143"/>
      <c r="H1060" s="142"/>
      <c r="I1060" s="143"/>
      <c r="J1060" s="142"/>
      <c r="K1060" s="142"/>
      <c r="L1060" s="142"/>
      <c r="M1060" s="142"/>
      <c r="N1060" s="12"/>
      <c r="O1060" s="12" t="e">
        <v>#VALUE!</v>
      </c>
      <c r="P1060" s="13" t="str">
        <f t="shared" si="17"/>
        <v/>
      </c>
      <c r="Q1060" s="158"/>
      <c r="R1060" s="142"/>
    </row>
    <row r="1061" spans="1:18" s="139" customFormat="1" ht="48" customHeight="1" x14ac:dyDescent="0.15">
      <c r="A1061" s="142" t="s">
        <v>2375</v>
      </c>
      <c r="B1061" s="142">
        <v>20</v>
      </c>
      <c r="C1061" s="161" t="s">
        <v>2956</v>
      </c>
      <c r="D1061" s="143">
        <v>1954</v>
      </c>
      <c r="E1061" s="144" t="s">
        <v>34</v>
      </c>
      <c r="F1061" s="143"/>
      <c r="G1061" s="143" t="s">
        <v>2957</v>
      </c>
      <c r="H1061" s="142"/>
      <c r="I1061" s="143"/>
      <c r="J1061" s="142"/>
      <c r="K1061" s="142" t="s">
        <v>2958</v>
      </c>
      <c r="L1061" s="142"/>
      <c r="M1061" s="142"/>
      <c r="N1061" s="23" t="s">
        <v>2598</v>
      </c>
      <c r="O1061" s="23" t="s">
        <v>2599</v>
      </c>
      <c r="P1061" s="24" t="str">
        <f t="shared" si="17"/>
        <v>亀山市の名誉市民／旧亀山市の名誉市民</v>
      </c>
      <c r="Q1061" s="25" t="str">
        <f>HYPERLINK("http://kameyamarekihaku.jp/23kikaku/info.html","企画展「－世界に冠たる亀山人－映画監督衣笠貞之助と言語学者服部四郎」")</f>
        <v>企画展「－世界に冠たる亀山人－映画監督衣笠貞之助と言語学者服部四郎」</v>
      </c>
      <c r="R1061" s="142" t="s">
        <v>2959</v>
      </c>
    </row>
    <row r="1062" spans="1:18" s="139" customFormat="1" ht="28.5" customHeight="1" x14ac:dyDescent="0.15">
      <c r="A1062" s="142" t="s">
        <v>2375</v>
      </c>
      <c r="B1062" s="142">
        <v>20</v>
      </c>
      <c r="C1062" s="143" t="s">
        <v>2954</v>
      </c>
      <c r="D1062" s="143">
        <v>1954</v>
      </c>
      <c r="E1062" s="144" t="s">
        <v>20</v>
      </c>
      <c r="F1062" s="143"/>
      <c r="G1062" s="143" t="s">
        <v>2960</v>
      </c>
      <c r="H1062" s="142" t="s">
        <v>464</v>
      </c>
      <c r="I1062" s="143" t="s">
        <v>2961</v>
      </c>
      <c r="J1062" s="142" t="s">
        <v>2962</v>
      </c>
      <c r="K1062" s="142"/>
      <c r="L1062" s="142"/>
      <c r="M1062" s="142"/>
      <c r="N1062" s="12" t="s">
        <v>2963</v>
      </c>
      <c r="O1062" s="12" t="s">
        <v>2356</v>
      </c>
      <c r="P1062" s="13" t="str">
        <f t="shared" si="17"/>
        <v>日本の歴史の中の亀山／現代の亀山／交通と通信／電話（電報電話局）</v>
      </c>
      <c r="Q1062" s="158"/>
      <c r="R1062" s="142" t="s">
        <v>2936</v>
      </c>
    </row>
    <row r="1063" spans="1:18" s="139" customFormat="1" ht="60.75" customHeight="1" x14ac:dyDescent="0.15">
      <c r="A1063" s="142" t="s">
        <v>2375</v>
      </c>
      <c r="B1063" s="142">
        <v>20</v>
      </c>
      <c r="C1063" s="143" t="s">
        <v>2954</v>
      </c>
      <c r="D1063" s="143">
        <v>1954</v>
      </c>
      <c r="E1063" s="144" t="s">
        <v>20</v>
      </c>
      <c r="F1063" s="143"/>
      <c r="G1063" s="143" t="s">
        <v>2964</v>
      </c>
      <c r="H1063" s="142"/>
      <c r="I1063" s="143"/>
      <c r="J1063" s="142"/>
      <c r="K1063" s="142"/>
      <c r="L1063" s="142"/>
      <c r="M1063" s="142"/>
      <c r="N1063" s="12"/>
      <c r="O1063" s="12" t="e">
        <v>#VALUE!</v>
      </c>
      <c r="P1063" s="13" t="str">
        <f t="shared" si="17"/>
        <v/>
      </c>
      <c r="Q1063" s="158"/>
      <c r="R1063" s="142" t="s">
        <v>2936</v>
      </c>
    </row>
    <row r="1064" spans="1:18" s="139" customFormat="1" ht="28.5" customHeight="1" x14ac:dyDescent="0.15">
      <c r="A1064" s="142" t="s">
        <v>2375</v>
      </c>
      <c r="B1064" s="142">
        <v>20</v>
      </c>
      <c r="C1064" s="143" t="s">
        <v>2954</v>
      </c>
      <c r="D1064" s="143">
        <v>1954</v>
      </c>
      <c r="E1064" s="144" t="s">
        <v>20</v>
      </c>
      <c r="F1064" s="143"/>
      <c r="G1064" s="143" t="s">
        <v>2965</v>
      </c>
      <c r="H1064" s="142" t="s">
        <v>684</v>
      </c>
      <c r="I1064" s="143"/>
      <c r="J1064" s="142"/>
      <c r="K1064" s="142"/>
      <c r="L1064" s="142"/>
      <c r="M1064" s="142"/>
      <c r="N1064" s="12"/>
      <c r="O1064" s="12" t="e">
        <v>#VALUE!</v>
      </c>
      <c r="P1064" s="13" t="str">
        <f t="shared" si="17"/>
        <v/>
      </c>
      <c r="Q1064" s="158"/>
      <c r="R1064" s="142" t="s">
        <v>2966</v>
      </c>
    </row>
    <row r="1065" spans="1:18" s="139" customFormat="1" ht="15" customHeight="1" x14ac:dyDescent="0.15">
      <c r="A1065" s="142" t="s">
        <v>2375</v>
      </c>
      <c r="B1065" s="142">
        <v>20</v>
      </c>
      <c r="C1065" s="143" t="s">
        <v>2954</v>
      </c>
      <c r="D1065" s="143">
        <v>1954</v>
      </c>
      <c r="E1065" s="144" t="s">
        <v>20</v>
      </c>
      <c r="F1065" s="143"/>
      <c r="G1065" s="143" t="s">
        <v>2967</v>
      </c>
      <c r="H1065" s="142" t="s">
        <v>464</v>
      </c>
      <c r="I1065" s="143" t="s">
        <v>2968</v>
      </c>
      <c r="J1065" s="142" t="s">
        <v>2969</v>
      </c>
      <c r="K1065" s="142"/>
      <c r="L1065" s="142"/>
      <c r="M1065" s="142"/>
      <c r="N1065" s="12"/>
      <c r="O1065" s="12" t="e">
        <v>#VALUE!</v>
      </c>
      <c r="P1065" s="13" t="str">
        <f t="shared" si="17"/>
        <v/>
      </c>
      <c r="Q1065" s="158"/>
      <c r="R1065" s="142" t="s">
        <v>2936</v>
      </c>
    </row>
    <row r="1066" spans="1:18" s="139" customFormat="1" ht="30.75" customHeight="1" x14ac:dyDescent="0.15">
      <c r="A1066" s="145" t="s">
        <v>2375</v>
      </c>
      <c r="B1066" s="145">
        <v>20</v>
      </c>
      <c r="C1066" s="146" t="s">
        <v>2954</v>
      </c>
      <c r="D1066" s="146">
        <v>1954</v>
      </c>
      <c r="E1066" s="147" t="s">
        <v>20</v>
      </c>
      <c r="F1066" s="146"/>
      <c r="G1066" s="146" t="s">
        <v>2970</v>
      </c>
      <c r="H1066" s="145"/>
      <c r="I1066" s="146"/>
      <c r="J1066" s="145"/>
      <c r="K1066" s="145"/>
      <c r="L1066" s="145" t="s">
        <v>2971</v>
      </c>
      <c r="M1066" s="145"/>
      <c r="N1066" s="310" t="s">
        <v>2972</v>
      </c>
      <c r="O1066" s="310" t="s">
        <v>2973</v>
      </c>
      <c r="P1066" s="311" t="str">
        <f t="shared" si="17"/>
        <v>日本の歴史の中の亀山／現代の亀山／行政と政治／合併による亀山市、関町の誕生</v>
      </c>
      <c r="Q1066" s="17" t="str">
        <f>HYPERLINK("http://kameyamarekihaku.jp/sisi/RekisiHP/kingendai/01/03/01-03.html","市史近代・現代ページ　地図でたどる亀山市のうつりかわり")</f>
        <v>市史近代・現代ページ　地図でたどる亀山市のうつりかわり</v>
      </c>
      <c r="R1066" s="145" t="s">
        <v>2974</v>
      </c>
    </row>
    <row r="1067" spans="1:18" s="139" customFormat="1" ht="28.5" customHeight="1" x14ac:dyDescent="0.15">
      <c r="A1067" s="151"/>
      <c r="B1067" s="151"/>
      <c r="C1067" s="152"/>
      <c r="D1067" s="152"/>
      <c r="E1067" s="153"/>
      <c r="F1067" s="152"/>
      <c r="G1067" s="152"/>
      <c r="H1067" s="151"/>
      <c r="I1067" s="152"/>
      <c r="J1067" s="151"/>
      <c r="K1067" s="151"/>
      <c r="L1067" s="151"/>
      <c r="M1067" s="151"/>
      <c r="N1067" s="306"/>
      <c r="O1067" s="306" t="e">
        <v>#VALUE!</v>
      </c>
      <c r="P1067" s="308" t="str">
        <f t="shared" si="17"/>
        <v/>
      </c>
      <c r="Q1067" s="10" t="str">
        <f>HYPERLINK("http:/kameyamarekihaku.jp/sisi/RekisiHP/kingendai/01/s29siryo/s29.html","市史近代・現代ページ　昭和29（1954)年の資料")</f>
        <v>市史近代・現代ページ　昭和29（1954)年の資料</v>
      </c>
      <c r="R1067" s="151"/>
    </row>
    <row r="1068" spans="1:18" s="139" customFormat="1" ht="28.5" customHeight="1" x14ac:dyDescent="0.15">
      <c r="A1068" s="145" t="s">
        <v>2375</v>
      </c>
      <c r="B1068" s="145">
        <v>20</v>
      </c>
      <c r="C1068" s="146" t="s">
        <v>2954</v>
      </c>
      <c r="D1068" s="146">
        <v>1954</v>
      </c>
      <c r="E1068" s="147" t="s">
        <v>20</v>
      </c>
      <c r="F1068" s="146"/>
      <c r="G1068" s="146" t="s">
        <v>2975</v>
      </c>
      <c r="H1068" s="145" t="s">
        <v>2191</v>
      </c>
      <c r="I1068" s="146"/>
      <c r="J1068" s="145"/>
      <c r="K1068" s="145"/>
      <c r="L1068" s="145"/>
      <c r="M1068" s="145"/>
      <c r="N1068" s="32" t="s">
        <v>2976</v>
      </c>
      <c r="O1068" s="32" t="s">
        <v>2977</v>
      </c>
      <c r="P1068" s="33" t="str">
        <f t="shared" si="17"/>
        <v>学校のあゆみ／井田川小学校のれきし</v>
      </c>
      <c r="Q1068" s="17" t="str">
        <f>HYPERLINK("http://kameyamarekihaku.jp/sisi/RekisiHP/kingendai/01/04%20hensen/01-04.html","市史近代・現代ページ　地図でたどる亀山市のうつりかわり")</f>
        <v>市史近代・現代ページ　地図でたどる亀山市のうつりかわり</v>
      </c>
      <c r="R1068" s="347" t="s">
        <v>2978</v>
      </c>
    </row>
    <row r="1069" spans="1:18" s="139" customFormat="1" ht="30.75" customHeight="1" x14ac:dyDescent="0.15">
      <c r="A1069" s="151"/>
      <c r="B1069" s="151"/>
      <c r="C1069" s="152"/>
      <c r="D1069" s="152"/>
      <c r="E1069" s="153"/>
      <c r="F1069" s="152"/>
      <c r="G1069" s="152"/>
      <c r="H1069" s="151"/>
      <c r="I1069" s="152"/>
      <c r="J1069" s="151"/>
      <c r="K1069" s="151"/>
      <c r="L1069" s="151"/>
      <c r="M1069" s="151"/>
      <c r="N1069" s="29"/>
      <c r="O1069" s="29" t="e">
        <v>#VALUE!</v>
      </c>
      <c r="P1069" s="30" t="str">
        <f t="shared" si="17"/>
        <v/>
      </c>
      <c r="Q1069" s="10" t="str">
        <f>HYPERLINK("http:/kameyamarekihaku.jp/sisi/RekisiHP/kingendai/quiz/school/schoo01l.html","市史近代・現代ページ 学校クイズ")</f>
        <v>市史近代・現代ページ 学校クイズ</v>
      </c>
      <c r="R1069" s="348"/>
    </row>
    <row r="1070" spans="1:18" s="139" customFormat="1" ht="28.5" customHeight="1" x14ac:dyDescent="0.15">
      <c r="A1070" s="145" t="s">
        <v>2375</v>
      </c>
      <c r="B1070" s="145">
        <v>20</v>
      </c>
      <c r="C1070" s="146" t="s">
        <v>2954</v>
      </c>
      <c r="D1070" s="146">
        <v>1954</v>
      </c>
      <c r="E1070" s="147" t="s">
        <v>20</v>
      </c>
      <c r="F1070" s="146"/>
      <c r="G1070" s="146" t="s">
        <v>2979</v>
      </c>
      <c r="H1070" s="145" t="s">
        <v>250</v>
      </c>
      <c r="I1070" s="146" t="s">
        <v>2980</v>
      </c>
      <c r="J1070" s="145"/>
      <c r="K1070" s="145"/>
      <c r="L1070" s="145"/>
      <c r="M1070" s="145"/>
      <c r="N1070" s="32"/>
      <c r="O1070" s="32" t="e">
        <v>#VALUE!</v>
      </c>
      <c r="P1070" s="33" t="str">
        <f t="shared" si="17"/>
        <v/>
      </c>
      <c r="Q1070" s="17" t="str">
        <f>HYPERLINK("http://kameyamarekihaku.jp/sisi/RekisiHP/kingendai/01/05%20hensen/01-05.html","市史近代・現代ページ　地図でたどる亀山市のうつりかわり")</f>
        <v>市史近代・現代ページ　地図でたどる亀山市のうつりかわり</v>
      </c>
      <c r="R1070" s="145" t="s">
        <v>2936</v>
      </c>
    </row>
    <row r="1071" spans="1:18" s="139" customFormat="1" ht="28.5" customHeight="1" x14ac:dyDescent="0.15">
      <c r="A1071" s="151"/>
      <c r="B1071" s="151"/>
      <c r="C1071" s="152"/>
      <c r="D1071" s="152"/>
      <c r="E1071" s="153"/>
      <c r="F1071" s="152"/>
      <c r="G1071" s="152"/>
      <c r="H1071" s="151"/>
      <c r="I1071" s="152"/>
      <c r="J1071" s="151"/>
      <c r="K1071" s="151"/>
      <c r="L1071" s="151"/>
      <c r="M1071" s="151"/>
      <c r="N1071" s="29"/>
      <c r="O1071" s="29" t="e">
        <v>#VALUE!</v>
      </c>
      <c r="P1071" s="30" t="str">
        <f t="shared" si="17"/>
        <v/>
      </c>
      <c r="Q1071" s="10" t="str">
        <f>HYPERLINK("http:/kameyamarekihaku.jp/sisi/RekisiHP/kingendai/01/s29siryo/s29.html","市史近代・現代ページ　昭和29（1954)年の資料")</f>
        <v>市史近代・現代ページ　昭和29（1954)年の資料</v>
      </c>
      <c r="R1071" s="151"/>
    </row>
    <row r="1072" spans="1:18" s="139" customFormat="1" ht="28.5" customHeight="1" x14ac:dyDescent="0.15">
      <c r="A1072" s="142" t="s">
        <v>2375</v>
      </c>
      <c r="B1072" s="142">
        <v>20</v>
      </c>
      <c r="C1072" s="143" t="s">
        <v>2954</v>
      </c>
      <c r="D1072" s="143">
        <v>1954</v>
      </c>
      <c r="E1072" s="144" t="s">
        <v>20</v>
      </c>
      <c r="F1072" s="143"/>
      <c r="G1072" s="143" t="s">
        <v>2981</v>
      </c>
      <c r="H1072" s="142" t="s">
        <v>199</v>
      </c>
      <c r="I1072" s="143" t="s">
        <v>1443</v>
      </c>
      <c r="J1072" s="142" t="s">
        <v>2982</v>
      </c>
      <c r="K1072" s="142"/>
      <c r="L1072" s="142"/>
      <c r="M1072" s="142"/>
      <c r="N1072" s="12"/>
      <c r="O1072" s="12" t="e">
        <v>#VALUE!</v>
      </c>
      <c r="P1072" s="13" t="str">
        <f t="shared" si="17"/>
        <v/>
      </c>
      <c r="Q1072" s="158"/>
      <c r="R1072" s="142" t="s">
        <v>2371</v>
      </c>
    </row>
    <row r="1073" spans="1:18" s="139" customFormat="1" ht="15" customHeight="1" x14ac:dyDescent="0.15">
      <c r="A1073" s="142" t="s">
        <v>2375</v>
      </c>
      <c r="B1073" s="142">
        <v>20</v>
      </c>
      <c r="C1073" s="143" t="s">
        <v>2954</v>
      </c>
      <c r="D1073" s="143">
        <v>1954</v>
      </c>
      <c r="E1073" s="144" t="s">
        <v>20</v>
      </c>
      <c r="F1073" s="143"/>
      <c r="G1073" s="143" t="s">
        <v>2983</v>
      </c>
      <c r="H1073" s="142" t="s">
        <v>199</v>
      </c>
      <c r="I1073" s="143" t="s">
        <v>2689</v>
      </c>
      <c r="J1073" s="142" t="s">
        <v>2984</v>
      </c>
      <c r="K1073" s="142"/>
      <c r="L1073" s="142"/>
      <c r="M1073" s="142"/>
      <c r="N1073" s="12"/>
      <c r="O1073" s="12" t="e">
        <v>#VALUE!</v>
      </c>
      <c r="P1073" s="13" t="str">
        <f t="shared" si="17"/>
        <v/>
      </c>
      <c r="Q1073" s="158"/>
      <c r="R1073" s="142" t="s">
        <v>2371</v>
      </c>
    </row>
    <row r="1074" spans="1:18" s="139" customFormat="1" ht="60.75" customHeight="1" x14ac:dyDescent="0.15">
      <c r="A1074" s="142" t="s">
        <v>2375</v>
      </c>
      <c r="B1074" s="142">
        <v>20</v>
      </c>
      <c r="C1074" s="143" t="s">
        <v>2985</v>
      </c>
      <c r="D1074" s="143">
        <v>1955</v>
      </c>
      <c r="E1074" s="144" t="s">
        <v>20</v>
      </c>
      <c r="F1074" s="143"/>
      <c r="G1074" s="143" t="s">
        <v>2986</v>
      </c>
      <c r="H1074" s="142" t="s">
        <v>2987</v>
      </c>
      <c r="I1074" s="143"/>
      <c r="J1074" s="142"/>
      <c r="K1074" s="142"/>
      <c r="L1074" s="142"/>
      <c r="M1074" s="142"/>
      <c r="N1074" s="23"/>
      <c r="O1074" s="23" t="e">
        <v>#VALUE!</v>
      </c>
      <c r="P1074" s="24" t="str">
        <f t="shared" si="17"/>
        <v/>
      </c>
      <c r="Q1074" s="25" t="str">
        <f>HYPERLINK("http:/kameyamarekihaku.jp/sisi/RekisiHP/kingendai/01/s30siryo/s30.html","市史近代・現代ページ　昭和30（1955)年の資料")</f>
        <v>市史近代・現代ページ　昭和30（1955)年の資料</v>
      </c>
      <c r="R1074" s="142" t="s">
        <v>2988</v>
      </c>
    </row>
    <row r="1075" spans="1:18" s="139" customFormat="1" ht="32.25" customHeight="1" x14ac:dyDescent="0.15">
      <c r="A1075" s="142" t="s">
        <v>2375</v>
      </c>
      <c r="B1075" s="142">
        <v>20</v>
      </c>
      <c r="C1075" s="143" t="s">
        <v>2985</v>
      </c>
      <c r="D1075" s="143">
        <v>1955</v>
      </c>
      <c r="E1075" s="144" t="s">
        <v>20</v>
      </c>
      <c r="F1075" s="143"/>
      <c r="G1075" s="143" t="s">
        <v>2989</v>
      </c>
      <c r="H1075" s="142" t="s">
        <v>684</v>
      </c>
      <c r="I1075" s="143" t="s">
        <v>2990</v>
      </c>
      <c r="J1075" s="142" t="s">
        <v>2991</v>
      </c>
      <c r="K1075" s="142"/>
      <c r="L1075" s="142"/>
      <c r="M1075" s="142"/>
      <c r="N1075" s="12" t="s">
        <v>2992</v>
      </c>
      <c r="O1075" s="12" t="s">
        <v>2731</v>
      </c>
      <c r="P1075" s="13" t="str">
        <f t="shared" si="17"/>
        <v>日本の歴史の中の亀山／現代の亀山／教育と医療・福祉／保育園</v>
      </c>
      <c r="Q1075" s="158"/>
      <c r="R1075" s="142" t="s">
        <v>2993</v>
      </c>
    </row>
    <row r="1076" spans="1:18" s="139" customFormat="1" ht="28.5" customHeight="1" x14ac:dyDescent="0.15">
      <c r="A1076" s="142" t="s">
        <v>2375</v>
      </c>
      <c r="B1076" s="142">
        <v>20</v>
      </c>
      <c r="C1076" s="143" t="s">
        <v>2985</v>
      </c>
      <c r="D1076" s="143">
        <v>1955</v>
      </c>
      <c r="E1076" s="144" t="s">
        <v>20</v>
      </c>
      <c r="F1076" s="143"/>
      <c r="G1076" s="143" t="s">
        <v>2994</v>
      </c>
      <c r="H1076" s="142" t="s">
        <v>250</v>
      </c>
      <c r="I1076" s="175" t="s">
        <v>2247</v>
      </c>
      <c r="J1076" s="142" t="s">
        <v>2995</v>
      </c>
      <c r="K1076" s="142"/>
      <c r="L1076" s="142"/>
      <c r="M1076" s="142"/>
      <c r="N1076" s="12"/>
      <c r="O1076" s="12" t="e">
        <v>#VALUE!</v>
      </c>
      <c r="P1076" s="13" t="str">
        <f t="shared" si="17"/>
        <v/>
      </c>
      <c r="Q1076" s="158"/>
      <c r="R1076" s="142" t="s">
        <v>2996</v>
      </c>
    </row>
    <row r="1077" spans="1:18" s="139" customFormat="1" ht="15" customHeight="1" x14ac:dyDescent="0.15">
      <c r="A1077" s="142" t="s">
        <v>2375</v>
      </c>
      <c r="B1077" s="142">
        <v>20</v>
      </c>
      <c r="C1077" s="143" t="s">
        <v>2985</v>
      </c>
      <c r="D1077" s="143">
        <v>1955</v>
      </c>
      <c r="E1077" s="144" t="s">
        <v>20</v>
      </c>
      <c r="F1077" s="143"/>
      <c r="G1077" s="143" t="s">
        <v>2997</v>
      </c>
      <c r="H1077" s="142" t="s">
        <v>2656</v>
      </c>
      <c r="I1077" s="175" t="s">
        <v>2544</v>
      </c>
      <c r="J1077" s="142" t="s">
        <v>2998</v>
      </c>
      <c r="K1077" s="142"/>
      <c r="L1077" s="142"/>
      <c r="M1077" s="142"/>
      <c r="N1077" s="12"/>
      <c r="O1077" s="12" t="e">
        <v>#VALUE!</v>
      </c>
      <c r="P1077" s="13" t="str">
        <f t="shared" si="17"/>
        <v/>
      </c>
      <c r="Q1077" s="158"/>
      <c r="R1077" s="142" t="s">
        <v>2936</v>
      </c>
    </row>
    <row r="1078" spans="1:18" s="139" customFormat="1" ht="15" customHeight="1" x14ac:dyDescent="0.15">
      <c r="A1078" s="142" t="s">
        <v>2375</v>
      </c>
      <c r="B1078" s="142">
        <v>20</v>
      </c>
      <c r="C1078" s="143" t="s">
        <v>2985</v>
      </c>
      <c r="D1078" s="143">
        <v>1955</v>
      </c>
      <c r="E1078" s="144" t="s">
        <v>20</v>
      </c>
      <c r="F1078" s="143"/>
      <c r="G1078" s="143" t="s">
        <v>2999</v>
      </c>
      <c r="H1078" s="120"/>
      <c r="I1078" s="175"/>
      <c r="J1078" s="142"/>
      <c r="K1078" s="142"/>
      <c r="L1078" s="142"/>
      <c r="M1078" s="142"/>
      <c r="N1078" s="12"/>
      <c r="O1078" s="12" t="e">
        <v>#VALUE!</v>
      </c>
      <c r="P1078" s="13" t="str">
        <f t="shared" si="17"/>
        <v/>
      </c>
      <c r="Q1078" s="158"/>
      <c r="R1078" s="142" t="s">
        <v>2936</v>
      </c>
    </row>
    <row r="1079" spans="1:18" s="139" customFormat="1" ht="46.5" customHeight="1" x14ac:dyDescent="0.15">
      <c r="A1079" s="142" t="s">
        <v>2375</v>
      </c>
      <c r="B1079" s="142">
        <v>20</v>
      </c>
      <c r="C1079" s="143" t="s">
        <v>2985</v>
      </c>
      <c r="D1079" s="143">
        <v>1955</v>
      </c>
      <c r="E1079" s="144" t="s">
        <v>20</v>
      </c>
      <c r="F1079" s="143"/>
      <c r="G1079" s="143" t="s">
        <v>3000</v>
      </c>
      <c r="H1079" s="120" t="s">
        <v>3001</v>
      </c>
      <c r="I1079" s="175" t="s">
        <v>3002</v>
      </c>
      <c r="J1079" s="142" t="s">
        <v>2900</v>
      </c>
      <c r="K1079" s="142"/>
      <c r="L1079" s="142"/>
      <c r="M1079" s="142"/>
      <c r="N1079" s="23" t="s">
        <v>2789</v>
      </c>
      <c r="O1079" s="23" t="s">
        <v>2790</v>
      </c>
      <c r="P1079" s="24" t="str">
        <f t="shared" si="17"/>
        <v>学校のあゆみ／関中学校のれきし</v>
      </c>
      <c r="Q1079" s="25" t="str">
        <f>HYPERLINK("http:/kameyamarekihaku.jp/sisi/RekisiHP/kingendai/quiz/school/schoo01l.html","市史近代・現代ページ 学校クイズ")</f>
        <v>市史近代・現代ページ 学校クイズ</v>
      </c>
      <c r="R1079" s="142" t="s">
        <v>3003</v>
      </c>
    </row>
    <row r="1080" spans="1:18" s="139" customFormat="1" ht="43.5" customHeight="1" x14ac:dyDescent="0.15">
      <c r="A1080" s="142" t="s">
        <v>2375</v>
      </c>
      <c r="B1080" s="142">
        <v>20</v>
      </c>
      <c r="C1080" s="143" t="s">
        <v>2985</v>
      </c>
      <c r="D1080" s="143">
        <v>1955</v>
      </c>
      <c r="E1080" s="144" t="s">
        <v>20</v>
      </c>
      <c r="F1080" s="143"/>
      <c r="G1080" s="143" t="s">
        <v>3004</v>
      </c>
      <c r="H1080" s="142"/>
      <c r="I1080" s="143"/>
      <c r="J1080" s="142"/>
      <c r="K1080" s="142"/>
      <c r="L1080" s="142"/>
      <c r="M1080" s="142"/>
      <c r="N1080" s="12"/>
      <c r="O1080" s="12" t="e">
        <v>#VALUE!</v>
      </c>
      <c r="P1080" s="13" t="str">
        <f t="shared" si="17"/>
        <v/>
      </c>
      <c r="Q1080" s="158"/>
      <c r="R1080" s="142" t="s">
        <v>2936</v>
      </c>
    </row>
    <row r="1081" spans="1:18" s="139" customFormat="1" ht="28.5" customHeight="1" x14ac:dyDescent="0.15">
      <c r="A1081" s="142" t="s">
        <v>2375</v>
      </c>
      <c r="B1081" s="142">
        <v>20</v>
      </c>
      <c r="C1081" s="143" t="s">
        <v>2985</v>
      </c>
      <c r="D1081" s="143">
        <v>1955</v>
      </c>
      <c r="E1081" s="144" t="s">
        <v>20</v>
      </c>
      <c r="F1081" s="143"/>
      <c r="G1081" s="143" t="s">
        <v>3005</v>
      </c>
      <c r="H1081" s="142" t="s">
        <v>632</v>
      </c>
      <c r="I1081" s="143" t="s">
        <v>3006</v>
      </c>
      <c r="J1081" s="142" t="s">
        <v>3007</v>
      </c>
      <c r="K1081" s="142"/>
      <c r="L1081" s="142"/>
      <c r="M1081" s="142"/>
      <c r="N1081" s="12"/>
      <c r="O1081" s="12" t="e">
        <v>#VALUE!</v>
      </c>
      <c r="P1081" s="13" t="str">
        <f t="shared" si="17"/>
        <v/>
      </c>
      <c r="Q1081" s="158"/>
      <c r="R1081" s="142" t="s">
        <v>3008</v>
      </c>
    </row>
    <row r="1082" spans="1:18" s="139" customFormat="1" ht="15" customHeight="1" x14ac:dyDescent="0.15">
      <c r="A1082" s="142" t="s">
        <v>2375</v>
      </c>
      <c r="B1082" s="142">
        <v>20</v>
      </c>
      <c r="C1082" s="143" t="s">
        <v>2985</v>
      </c>
      <c r="D1082" s="143">
        <v>1955</v>
      </c>
      <c r="E1082" s="144" t="s">
        <v>20</v>
      </c>
      <c r="F1082" s="143"/>
      <c r="G1082" s="143" t="s">
        <v>3009</v>
      </c>
      <c r="H1082" s="142"/>
      <c r="I1082" s="143"/>
      <c r="J1082" s="142"/>
      <c r="K1082" s="142"/>
      <c r="L1082" s="142"/>
      <c r="M1082" s="142"/>
      <c r="N1082" s="12"/>
      <c r="O1082" s="12" t="e">
        <v>#VALUE!</v>
      </c>
      <c r="P1082" s="13" t="str">
        <f t="shared" si="17"/>
        <v/>
      </c>
      <c r="Q1082" s="158"/>
      <c r="R1082" s="142" t="s">
        <v>2936</v>
      </c>
    </row>
    <row r="1083" spans="1:18" s="139" customFormat="1" ht="28.5" customHeight="1" x14ac:dyDescent="0.15">
      <c r="A1083" s="142" t="s">
        <v>2375</v>
      </c>
      <c r="B1083" s="142">
        <v>20</v>
      </c>
      <c r="C1083" s="143" t="s">
        <v>2985</v>
      </c>
      <c r="D1083" s="143">
        <v>1955</v>
      </c>
      <c r="E1083" s="144" t="s">
        <v>34</v>
      </c>
      <c r="F1083" s="143"/>
      <c r="G1083" s="143" t="s">
        <v>3010</v>
      </c>
      <c r="H1083" s="142"/>
      <c r="I1083" s="143"/>
      <c r="J1083" s="142"/>
      <c r="K1083" s="142"/>
      <c r="L1083" s="142"/>
      <c r="M1083" s="142"/>
      <c r="N1083" s="12" t="s">
        <v>3011</v>
      </c>
      <c r="O1083" s="12" t="s">
        <v>2759</v>
      </c>
      <c r="P1083" s="13" t="str">
        <f t="shared" si="17"/>
        <v>日本の歴史の中の亀山／現代の亀山／教育と医療・福祉／図書館</v>
      </c>
      <c r="Q1083" s="158"/>
      <c r="R1083" s="142" t="s">
        <v>2936</v>
      </c>
    </row>
    <row r="1084" spans="1:18" s="139" customFormat="1" ht="28.5" customHeight="1" x14ac:dyDescent="0.15">
      <c r="A1084" s="142" t="s">
        <v>2375</v>
      </c>
      <c r="B1084" s="142">
        <v>20</v>
      </c>
      <c r="C1084" s="143" t="s">
        <v>2985</v>
      </c>
      <c r="D1084" s="143">
        <v>1955</v>
      </c>
      <c r="E1084" s="144" t="s">
        <v>20</v>
      </c>
      <c r="F1084" s="143"/>
      <c r="G1084" s="143" t="s">
        <v>3012</v>
      </c>
      <c r="H1084" s="142"/>
      <c r="I1084" s="143"/>
      <c r="J1084" s="142" t="s">
        <v>3013</v>
      </c>
      <c r="K1084" s="142"/>
      <c r="L1084" s="142"/>
      <c r="M1084" s="142"/>
      <c r="N1084" s="12" t="s">
        <v>2810</v>
      </c>
      <c r="O1084" s="12" t="s">
        <v>2484</v>
      </c>
      <c r="P1084" s="13" t="str">
        <f t="shared" si="17"/>
        <v>日本の歴史の中の亀山／現代の亀山／交通と通信／バス</v>
      </c>
      <c r="Q1084" s="158"/>
      <c r="R1084" s="142" t="s">
        <v>2371</v>
      </c>
    </row>
    <row r="1085" spans="1:18" s="139" customFormat="1" ht="28.5" customHeight="1" x14ac:dyDescent="0.15">
      <c r="A1085" s="142" t="s">
        <v>2375</v>
      </c>
      <c r="B1085" s="142">
        <v>20</v>
      </c>
      <c r="C1085" s="143" t="s">
        <v>2985</v>
      </c>
      <c r="D1085" s="143">
        <v>1955</v>
      </c>
      <c r="E1085" s="144" t="s">
        <v>20</v>
      </c>
      <c r="F1085" s="143"/>
      <c r="G1085" s="143" t="s">
        <v>3014</v>
      </c>
      <c r="H1085" s="142" t="s">
        <v>2396</v>
      </c>
      <c r="I1085" s="143"/>
      <c r="J1085" s="142"/>
      <c r="K1085" s="142"/>
      <c r="L1085" s="142"/>
      <c r="M1085" s="142"/>
      <c r="N1085" s="12" t="s">
        <v>3015</v>
      </c>
      <c r="O1085" s="12" t="s">
        <v>3016</v>
      </c>
      <c r="P1085" s="13" t="str">
        <f t="shared" si="17"/>
        <v>学校のあゆみ／関小学校のれきし</v>
      </c>
      <c r="Q1085" s="158"/>
      <c r="R1085" s="142" t="s">
        <v>2371</v>
      </c>
    </row>
    <row r="1086" spans="1:18" s="139" customFormat="1" ht="36" customHeight="1" x14ac:dyDescent="0.15">
      <c r="A1086" s="142" t="s">
        <v>2375</v>
      </c>
      <c r="B1086" s="142">
        <v>20</v>
      </c>
      <c r="C1086" s="143" t="s">
        <v>2985</v>
      </c>
      <c r="D1086" s="143">
        <v>1955</v>
      </c>
      <c r="E1086" s="144" t="s">
        <v>20</v>
      </c>
      <c r="F1086" s="143"/>
      <c r="G1086" s="143" t="s">
        <v>3017</v>
      </c>
      <c r="H1086" s="142" t="s">
        <v>2396</v>
      </c>
      <c r="I1086" s="143"/>
      <c r="J1086" s="142" t="s">
        <v>3018</v>
      </c>
      <c r="K1086" s="142"/>
      <c r="L1086" s="142"/>
      <c r="M1086" s="142"/>
      <c r="N1086" s="12" t="s">
        <v>3019</v>
      </c>
      <c r="O1086" s="12" t="s">
        <v>2484</v>
      </c>
      <c r="P1086" s="13" t="str">
        <f t="shared" si="17"/>
        <v>日本の歴史の中の亀山／現代の亀山／交通と通信／バス</v>
      </c>
      <c r="Q1086" s="158"/>
      <c r="R1086" s="142" t="s">
        <v>2371</v>
      </c>
    </row>
    <row r="1087" spans="1:18" s="139" customFormat="1" ht="34.5" customHeight="1" x14ac:dyDescent="0.15">
      <c r="A1087" s="142" t="s">
        <v>2375</v>
      </c>
      <c r="B1087" s="142">
        <v>20</v>
      </c>
      <c r="C1087" s="143" t="s">
        <v>2985</v>
      </c>
      <c r="D1087" s="143">
        <v>1955</v>
      </c>
      <c r="E1087" s="144" t="s">
        <v>20</v>
      </c>
      <c r="F1087" s="143"/>
      <c r="G1087" s="143" t="s">
        <v>3020</v>
      </c>
      <c r="H1087" s="142" t="s">
        <v>2396</v>
      </c>
      <c r="I1087" s="175" t="s">
        <v>2367</v>
      </c>
      <c r="J1087" s="142" t="s">
        <v>3021</v>
      </c>
      <c r="K1087" s="142"/>
      <c r="L1087" s="142"/>
      <c r="M1087" s="142"/>
      <c r="N1087" s="12" t="s">
        <v>2992</v>
      </c>
      <c r="O1087" s="12" t="s">
        <v>2731</v>
      </c>
      <c r="P1087" s="13" t="str">
        <f t="shared" si="17"/>
        <v>日本の歴史の中の亀山／現代の亀山／教育と医療・福祉／保育園</v>
      </c>
      <c r="Q1087" s="158"/>
      <c r="R1087" s="142" t="s">
        <v>2371</v>
      </c>
    </row>
    <row r="1088" spans="1:18" s="139" customFormat="1" ht="15" customHeight="1" x14ac:dyDescent="0.15">
      <c r="A1088" s="142" t="s">
        <v>2375</v>
      </c>
      <c r="B1088" s="142">
        <v>20</v>
      </c>
      <c r="C1088" s="143" t="s">
        <v>2985</v>
      </c>
      <c r="D1088" s="143">
        <v>1955</v>
      </c>
      <c r="E1088" s="144" t="s">
        <v>20</v>
      </c>
      <c r="F1088" s="143"/>
      <c r="G1088" s="143" t="s">
        <v>3022</v>
      </c>
      <c r="H1088" s="142" t="s">
        <v>2396</v>
      </c>
      <c r="I1088" s="143"/>
      <c r="J1088" s="142"/>
      <c r="K1088" s="142"/>
      <c r="L1088" s="142"/>
      <c r="M1088" s="142"/>
      <c r="N1088" s="12"/>
      <c r="O1088" s="12" t="e">
        <v>#VALUE!</v>
      </c>
      <c r="P1088" s="13" t="str">
        <f t="shared" si="17"/>
        <v/>
      </c>
      <c r="Q1088" s="158"/>
      <c r="R1088" s="142" t="s">
        <v>2371</v>
      </c>
    </row>
    <row r="1089" spans="1:18" s="139" customFormat="1" ht="15" customHeight="1" x14ac:dyDescent="0.15">
      <c r="A1089" s="142" t="s">
        <v>2375</v>
      </c>
      <c r="B1089" s="142">
        <v>20</v>
      </c>
      <c r="C1089" s="143" t="s">
        <v>2985</v>
      </c>
      <c r="D1089" s="143">
        <v>1955</v>
      </c>
      <c r="E1089" s="144" t="s">
        <v>20</v>
      </c>
      <c r="F1089" s="143"/>
      <c r="G1089" s="143" t="s">
        <v>3023</v>
      </c>
      <c r="H1089" s="142" t="s">
        <v>2396</v>
      </c>
      <c r="I1089" s="175" t="s">
        <v>2367</v>
      </c>
      <c r="J1089" s="142" t="s">
        <v>3024</v>
      </c>
      <c r="K1089" s="142"/>
      <c r="L1089" s="142"/>
      <c r="M1089" s="142"/>
      <c r="N1089" s="12"/>
      <c r="O1089" s="12" t="e">
        <v>#VALUE!</v>
      </c>
      <c r="P1089" s="13" t="str">
        <f t="shared" si="17"/>
        <v/>
      </c>
      <c r="Q1089" s="158"/>
      <c r="R1089" s="142" t="s">
        <v>2371</v>
      </c>
    </row>
    <row r="1090" spans="1:18" s="139" customFormat="1" ht="15" customHeight="1" x14ac:dyDescent="0.15">
      <c r="A1090" s="142" t="s">
        <v>2375</v>
      </c>
      <c r="B1090" s="142">
        <v>20</v>
      </c>
      <c r="C1090" s="143" t="s">
        <v>3025</v>
      </c>
      <c r="D1090" s="143">
        <v>1956</v>
      </c>
      <c r="E1090" s="144" t="s">
        <v>59</v>
      </c>
      <c r="F1090" s="143" t="s">
        <v>3026</v>
      </c>
      <c r="G1090" s="143"/>
      <c r="H1090" s="142"/>
      <c r="I1090" s="143"/>
      <c r="J1090" s="142"/>
      <c r="K1090" s="142"/>
      <c r="L1090" s="142"/>
      <c r="M1090" s="142"/>
      <c r="N1090" s="12"/>
      <c r="O1090" s="12" t="e">
        <v>#VALUE!</v>
      </c>
      <c r="P1090" s="13" t="str">
        <f t="shared" si="17"/>
        <v/>
      </c>
      <c r="Q1090" s="158"/>
      <c r="R1090" s="142"/>
    </row>
    <row r="1091" spans="1:18" s="139" customFormat="1" ht="39.4" customHeight="1" x14ac:dyDescent="0.15">
      <c r="A1091" s="142" t="s">
        <v>2375</v>
      </c>
      <c r="B1091" s="142">
        <v>20</v>
      </c>
      <c r="C1091" s="143" t="s">
        <v>3025</v>
      </c>
      <c r="D1091" s="143">
        <v>1956</v>
      </c>
      <c r="E1091" s="144" t="s">
        <v>20</v>
      </c>
      <c r="F1091" s="143"/>
      <c r="G1091" s="143" t="s">
        <v>3027</v>
      </c>
      <c r="H1091" s="142" t="s">
        <v>2905</v>
      </c>
      <c r="I1091" s="175" t="s">
        <v>2795</v>
      </c>
      <c r="J1091" s="142" t="s">
        <v>2796</v>
      </c>
      <c r="K1091" s="142"/>
      <c r="L1091" s="142"/>
      <c r="M1091" s="142"/>
      <c r="N1091" s="12" t="s">
        <v>3028</v>
      </c>
      <c r="O1091" s="12" t="s">
        <v>2792</v>
      </c>
      <c r="P1091" s="13" t="str">
        <f t="shared" si="17"/>
        <v>学校のあゆみ／中部中学校のれきし</v>
      </c>
      <c r="Q1091" s="158"/>
      <c r="R1091" s="142" t="s">
        <v>3029</v>
      </c>
    </row>
    <row r="1092" spans="1:18" s="139" customFormat="1" ht="33" customHeight="1" x14ac:dyDescent="0.15">
      <c r="A1092" s="142" t="s">
        <v>2375</v>
      </c>
      <c r="B1092" s="142">
        <v>20</v>
      </c>
      <c r="C1092" s="143" t="s">
        <v>3025</v>
      </c>
      <c r="D1092" s="143">
        <v>1956</v>
      </c>
      <c r="E1092" s="144" t="s">
        <v>20</v>
      </c>
      <c r="F1092" s="143"/>
      <c r="G1092" s="143" t="s">
        <v>3030</v>
      </c>
      <c r="H1092" s="142" t="s">
        <v>3031</v>
      </c>
      <c r="I1092" s="143" t="s">
        <v>3032</v>
      </c>
      <c r="J1092" s="142" t="s">
        <v>3033</v>
      </c>
      <c r="K1092" s="142"/>
      <c r="L1092" s="142"/>
      <c r="M1092" s="142"/>
      <c r="N1092" s="12" t="s">
        <v>3034</v>
      </c>
      <c r="O1092" s="12" t="s">
        <v>3035</v>
      </c>
      <c r="P1092" s="13" t="str">
        <f t="shared" si="17"/>
        <v>日本の歴史の中の亀山／現代の亀山／行政と政治／水道</v>
      </c>
      <c r="Q1092" s="158"/>
      <c r="R1092" s="142" t="s">
        <v>2936</v>
      </c>
    </row>
    <row r="1093" spans="1:18" s="139" customFormat="1" ht="28.5" customHeight="1" x14ac:dyDescent="0.15">
      <c r="A1093" s="142" t="s">
        <v>2375</v>
      </c>
      <c r="B1093" s="142">
        <v>20</v>
      </c>
      <c r="C1093" s="143" t="s">
        <v>3025</v>
      </c>
      <c r="D1093" s="143">
        <v>1956</v>
      </c>
      <c r="E1093" s="144" t="s">
        <v>20</v>
      </c>
      <c r="F1093" s="143"/>
      <c r="G1093" s="143" t="s">
        <v>3036</v>
      </c>
      <c r="H1093" s="142" t="s">
        <v>250</v>
      </c>
      <c r="I1093" s="143" t="s">
        <v>2247</v>
      </c>
      <c r="J1093" s="142" t="s">
        <v>3037</v>
      </c>
      <c r="K1093" s="142"/>
      <c r="L1093" s="142"/>
      <c r="M1093" s="142"/>
      <c r="N1093" s="12"/>
      <c r="O1093" s="12" t="e">
        <v>#VALUE!</v>
      </c>
      <c r="P1093" s="13" t="str">
        <f t="shared" ref="P1093:P1156" si="18">IFERROR(HYPERLINK(O1093,N1093),"")</f>
        <v/>
      </c>
      <c r="Q1093" s="158"/>
      <c r="R1093" s="142" t="s">
        <v>3038</v>
      </c>
    </row>
    <row r="1094" spans="1:18" s="139" customFormat="1" ht="52.35" customHeight="1" x14ac:dyDescent="0.15">
      <c r="A1094" s="142" t="s">
        <v>2375</v>
      </c>
      <c r="B1094" s="142">
        <v>20</v>
      </c>
      <c r="C1094" s="143" t="s">
        <v>3025</v>
      </c>
      <c r="D1094" s="143">
        <v>1956</v>
      </c>
      <c r="E1094" s="144" t="s">
        <v>34</v>
      </c>
      <c r="F1094" s="143"/>
      <c r="G1094" s="143" t="s">
        <v>3039</v>
      </c>
      <c r="H1094" s="142" t="s">
        <v>3040</v>
      </c>
      <c r="I1094" s="143"/>
      <c r="J1094" s="142" t="s">
        <v>3041</v>
      </c>
      <c r="K1094" s="142"/>
      <c r="L1094" s="142"/>
      <c r="M1094" s="142"/>
      <c r="N1094" s="12"/>
      <c r="O1094" s="12" t="e">
        <v>#VALUE!</v>
      </c>
      <c r="P1094" s="13" t="str">
        <f t="shared" si="18"/>
        <v/>
      </c>
      <c r="Q1094" s="158"/>
      <c r="R1094" s="142" t="s">
        <v>2936</v>
      </c>
    </row>
    <row r="1095" spans="1:18" s="139" customFormat="1" ht="36.75" customHeight="1" x14ac:dyDescent="0.15">
      <c r="A1095" s="142" t="s">
        <v>2375</v>
      </c>
      <c r="B1095" s="142">
        <v>20</v>
      </c>
      <c r="C1095" s="143" t="s">
        <v>3025</v>
      </c>
      <c r="D1095" s="143">
        <v>1956</v>
      </c>
      <c r="E1095" s="144" t="s">
        <v>20</v>
      </c>
      <c r="F1095" s="143"/>
      <c r="G1095" s="143" t="s">
        <v>3042</v>
      </c>
      <c r="H1095" s="142" t="s">
        <v>250</v>
      </c>
      <c r="I1095" s="143" t="s">
        <v>2607</v>
      </c>
      <c r="J1095" s="142" t="s">
        <v>3043</v>
      </c>
      <c r="K1095" s="142"/>
      <c r="L1095" s="142"/>
      <c r="M1095" s="142"/>
      <c r="N1095" s="12" t="s">
        <v>3044</v>
      </c>
      <c r="O1095" s="12" t="s">
        <v>3045</v>
      </c>
      <c r="P1095" s="13" t="str">
        <f t="shared" si="18"/>
        <v>日本の歴史の中の亀山／現代の亀山／行政と政治／と畜場</v>
      </c>
      <c r="Q1095" s="158"/>
      <c r="R1095" s="142" t="s">
        <v>3046</v>
      </c>
    </row>
    <row r="1096" spans="1:18" s="139" customFormat="1" ht="28.5" customHeight="1" x14ac:dyDescent="0.15">
      <c r="A1096" s="142" t="s">
        <v>2375</v>
      </c>
      <c r="B1096" s="142">
        <v>20</v>
      </c>
      <c r="C1096" s="143" t="s">
        <v>3025</v>
      </c>
      <c r="D1096" s="143">
        <v>1956</v>
      </c>
      <c r="E1096" s="144" t="s">
        <v>20</v>
      </c>
      <c r="F1096" s="143"/>
      <c r="G1096" s="143" t="s">
        <v>3047</v>
      </c>
      <c r="H1096" s="142"/>
      <c r="I1096" s="143"/>
      <c r="J1096" s="142"/>
      <c r="K1096" s="142"/>
      <c r="L1096" s="142"/>
      <c r="M1096" s="142"/>
      <c r="N1096" s="12"/>
      <c r="O1096" s="12" t="e">
        <v>#VALUE!</v>
      </c>
      <c r="P1096" s="13" t="str">
        <f t="shared" si="18"/>
        <v/>
      </c>
      <c r="Q1096" s="158"/>
      <c r="R1096" s="142" t="s">
        <v>2936</v>
      </c>
    </row>
    <row r="1097" spans="1:18" s="139" customFormat="1" ht="30" customHeight="1" x14ac:dyDescent="0.15">
      <c r="A1097" s="142" t="s">
        <v>2375</v>
      </c>
      <c r="B1097" s="142">
        <v>20</v>
      </c>
      <c r="C1097" s="143" t="s">
        <v>3025</v>
      </c>
      <c r="D1097" s="143">
        <v>1956</v>
      </c>
      <c r="E1097" s="144" t="s">
        <v>20</v>
      </c>
      <c r="F1097" s="143"/>
      <c r="G1097" s="143" t="s">
        <v>3048</v>
      </c>
      <c r="H1097" s="142" t="s">
        <v>2806</v>
      </c>
      <c r="I1097" s="175" t="s">
        <v>3049</v>
      </c>
      <c r="J1097" s="142" t="s">
        <v>3050</v>
      </c>
      <c r="K1097" s="142"/>
      <c r="L1097" s="82"/>
      <c r="M1097" s="142"/>
      <c r="N1097" s="12"/>
      <c r="O1097" s="12" t="e">
        <v>#VALUE!</v>
      </c>
      <c r="P1097" s="13" t="str">
        <f t="shared" si="18"/>
        <v/>
      </c>
      <c r="Q1097" s="158"/>
      <c r="R1097" s="142" t="s">
        <v>2936</v>
      </c>
    </row>
    <row r="1098" spans="1:18" s="139" customFormat="1" ht="30.75" customHeight="1" x14ac:dyDescent="0.15">
      <c r="A1098" s="145" t="s">
        <v>2375</v>
      </c>
      <c r="B1098" s="145">
        <v>20</v>
      </c>
      <c r="C1098" s="146" t="s">
        <v>3025</v>
      </c>
      <c r="D1098" s="146">
        <v>1956</v>
      </c>
      <c r="E1098" s="147" t="s">
        <v>34</v>
      </c>
      <c r="F1098" s="146"/>
      <c r="G1098" s="146" t="s">
        <v>3051</v>
      </c>
      <c r="H1098" s="145"/>
      <c r="I1098" s="146"/>
      <c r="J1098" s="145"/>
      <c r="K1098" s="145"/>
      <c r="L1098" s="71" t="str">
        <f>HYPERLINK("http://kameyamarekihaku.jp/sisi/RekisiHP/kingendai/kameyamakouta/kameyamakouta-index.html","音声（亀山市史）")</f>
        <v>音声（亀山市史）</v>
      </c>
      <c r="M1098" s="145"/>
      <c r="N1098" s="32"/>
      <c r="O1098" s="32" t="e">
        <v>#VALUE!</v>
      </c>
      <c r="P1098" s="33" t="str">
        <f t="shared" si="18"/>
        <v/>
      </c>
      <c r="Q1098" s="17" t="str">
        <f>HYPERLINK("http:/kameyamarekihaku.jp/sisi/tuusiHP_next/tuusi-index.html#kingendai0701","市史通史編 近代・現代第7章第1節")</f>
        <v>市史通史編 近代・現代第7章第1節</v>
      </c>
      <c r="R1098" s="347" t="s">
        <v>3052</v>
      </c>
    </row>
    <row r="1099" spans="1:18" s="208" customFormat="1" ht="17.25" customHeight="1" x14ac:dyDescent="0.15">
      <c r="A1099" s="151"/>
      <c r="B1099" s="151"/>
      <c r="C1099" s="152"/>
      <c r="D1099" s="152"/>
      <c r="E1099" s="153"/>
      <c r="F1099" s="152"/>
      <c r="G1099" s="152"/>
      <c r="I1099" s="152"/>
      <c r="J1099" s="151"/>
      <c r="K1099" s="151"/>
      <c r="L1099" s="102" t="str">
        <f>HYPERLINK("http:/kameyamarekihaku.jp/sisi/tuusiHP_next/kingendai/image/07/gi.htm?pf=3065sh007-08.JPG&amp;?pn=%E4%BA%80%E5%B1%B1%E5%B0%8F%E5%94%84%E8%88%9E%E8%B8%8F%E7%B5%B5%E3%81%AF%E3%81%8C%E3%81%8D","亀山小唄舞踏絵はがき")</f>
        <v>亀山小唄舞踏絵はがき</v>
      </c>
      <c r="M1099" s="151"/>
      <c r="N1099" s="29"/>
      <c r="O1099" s="29" t="e">
        <v>#VALUE!</v>
      </c>
      <c r="P1099" s="30" t="str">
        <f t="shared" si="18"/>
        <v/>
      </c>
      <c r="Q1099" s="10"/>
      <c r="R1099" s="348"/>
    </row>
    <row r="1100" spans="1:18" s="139" customFormat="1" ht="15" customHeight="1" x14ac:dyDescent="0.15">
      <c r="A1100" s="142" t="s">
        <v>2375</v>
      </c>
      <c r="B1100" s="142">
        <v>20</v>
      </c>
      <c r="C1100" s="143" t="s">
        <v>3025</v>
      </c>
      <c r="D1100" s="143">
        <v>1956</v>
      </c>
      <c r="E1100" s="144" t="s">
        <v>59</v>
      </c>
      <c r="F1100" s="143" t="s">
        <v>3053</v>
      </c>
      <c r="G1100" s="143"/>
      <c r="H1100" s="142"/>
      <c r="I1100" s="143"/>
      <c r="J1100" s="142"/>
      <c r="K1100" s="142"/>
      <c r="L1100" s="142"/>
      <c r="M1100" s="142"/>
      <c r="N1100" s="12"/>
      <c r="O1100" s="12" t="e">
        <v>#VALUE!</v>
      </c>
      <c r="P1100" s="13" t="str">
        <f t="shared" si="18"/>
        <v/>
      </c>
      <c r="Q1100" s="158"/>
      <c r="R1100" s="142"/>
    </row>
    <row r="1101" spans="1:18" s="6" customFormat="1" ht="46.5" customHeight="1" x14ac:dyDescent="0.15">
      <c r="A1101" s="88" t="s">
        <v>2375</v>
      </c>
      <c r="B1101" s="88">
        <v>20</v>
      </c>
      <c r="C1101" s="163" t="s">
        <v>3054</v>
      </c>
      <c r="D1101" s="163">
        <v>1956</v>
      </c>
      <c r="E1101" s="147" t="s">
        <v>34</v>
      </c>
      <c r="F1101" s="163"/>
      <c r="G1101" s="163" t="s">
        <v>3055</v>
      </c>
      <c r="H1101" s="88" t="s">
        <v>3056</v>
      </c>
      <c r="I1101" s="163" t="s">
        <v>3057</v>
      </c>
      <c r="J1101" s="88" t="s">
        <v>3058</v>
      </c>
      <c r="K1101" s="88"/>
      <c r="L1101" s="88"/>
      <c r="M1101" s="88" t="s">
        <v>3059</v>
      </c>
      <c r="N1101" s="32" t="s">
        <v>3060</v>
      </c>
      <c r="O1101" s="32" t="s">
        <v>1975</v>
      </c>
      <c r="P1101" s="33" t="str">
        <f t="shared" si="18"/>
        <v>亀山のいいとこさがし／景色のよいところや歴史を知る手掛かりとなるもの／山／名勝</v>
      </c>
      <c r="Q1101" s="17" t="str">
        <f>HYPERLINK("http:/kameyamarekihaku.jp/sisi/tuusiHP_next/tuusi-index.html#kingendai0904","市史通史編 近代・現代第9章第4節")</f>
        <v>市史通史編 近代・現代第9章第4節</v>
      </c>
      <c r="R1101" s="145" t="s">
        <v>3061</v>
      </c>
    </row>
    <row r="1102" spans="1:18" s="6" customFormat="1" ht="32.25" customHeight="1" x14ac:dyDescent="0.15">
      <c r="A1102" s="91"/>
      <c r="B1102" s="91"/>
      <c r="C1102" s="169"/>
      <c r="D1102" s="169"/>
      <c r="E1102" s="153"/>
      <c r="F1102" s="169"/>
      <c r="G1102" s="169"/>
      <c r="H1102" s="91"/>
      <c r="I1102" s="169"/>
      <c r="J1102" s="91"/>
      <c r="K1102" s="91"/>
      <c r="L1102" s="91"/>
      <c r="M1102" s="91"/>
      <c r="N1102" s="29" t="s">
        <v>2570</v>
      </c>
      <c r="O1102" s="29" t="s">
        <v>2571</v>
      </c>
      <c r="P1102" s="30" t="str">
        <f t="shared" si="18"/>
        <v>亀山のいいとこさがし／動物や植物／植物</v>
      </c>
      <c r="Q1102" s="10"/>
      <c r="R1102" s="151"/>
    </row>
    <row r="1103" spans="1:18" s="6" customFormat="1" ht="18" customHeight="1" x14ac:dyDescent="0.15">
      <c r="A1103" s="88" t="s">
        <v>2375</v>
      </c>
      <c r="B1103" s="88">
        <v>20</v>
      </c>
      <c r="C1103" s="163" t="s">
        <v>3054</v>
      </c>
      <c r="D1103" s="163">
        <v>1956</v>
      </c>
      <c r="E1103" s="147" t="s">
        <v>34</v>
      </c>
      <c r="F1103" s="163"/>
      <c r="G1103" s="349" t="s">
        <v>3062</v>
      </c>
      <c r="H1103" s="88" t="s">
        <v>2396</v>
      </c>
      <c r="I1103" s="163" t="s">
        <v>3063</v>
      </c>
      <c r="J1103" s="88" t="s">
        <v>2856</v>
      </c>
      <c r="K1103" s="88"/>
      <c r="L1103" s="88"/>
      <c r="M1103" s="88"/>
      <c r="N1103" s="34" t="s">
        <v>2857</v>
      </c>
      <c r="O1103" s="34" t="s">
        <v>774</v>
      </c>
      <c r="P1103" s="35" t="str">
        <f t="shared" si="18"/>
        <v>亀山のいいとこさがし／建物</v>
      </c>
      <c r="Q1103" s="164"/>
      <c r="R1103" s="347" t="s">
        <v>3064</v>
      </c>
    </row>
    <row r="1104" spans="1:18" s="6" customFormat="1" ht="60.75" customHeight="1" x14ac:dyDescent="0.15">
      <c r="A1104" s="91"/>
      <c r="B1104" s="91"/>
      <c r="C1104" s="169"/>
      <c r="D1104" s="169"/>
      <c r="E1104" s="153"/>
      <c r="F1104" s="169"/>
      <c r="G1104" s="374"/>
      <c r="H1104" s="91"/>
      <c r="I1104" s="169"/>
      <c r="J1104" s="91"/>
      <c r="K1104" s="91"/>
      <c r="L1104" s="91"/>
      <c r="M1104" s="91"/>
      <c r="N1104" s="86" t="s">
        <v>2859</v>
      </c>
      <c r="O1104" s="86" t="s">
        <v>776</v>
      </c>
      <c r="P1104" s="87" t="str">
        <f t="shared" si="18"/>
        <v>亀山のいいとこさがし／景色のよいところや歴史を知る手掛かりとなるもの／関宿のまちなみ／新所のまちなみ／地蔵院本堂・鐘楼・愛染堂</v>
      </c>
      <c r="Q1104" s="172"/>
      <c r="R1104" s="348"/>
    </row>
    <row r="1105" spans="1:18" s="6" customFormat="1" ht="30.75" customHeight="1" x14ac:dyDescent="0.15">
      <c r="A1105" s="120" t="s">
        <v>2375</v>
      </c>
      <c r="B1105" s="120">
        <v>20</v>
      </c>
      <c r="C1105" s="175" t="s">
        <v>3054</v>
      </c>
      <c r="D1105" s="175">
        <v>1956</v>
      </c>
      <c r="E1105" s="144" t="s">
        <v>20</v>
      </c>
      <c r="F1105" s="175"/>
      <c r="G1105" s="175" t="s">
        <v>3065</v>
      </c>
      <c r="H1105" s="120" t="s">
        <v>2561</v>
      </c>
      <c r="I1105" s="175" t="s">
        <v>3066</v>
      </c>
      <c r="J1105" s="120" t="s">
        <v>3067</v>
      </c>
      <c r="K1105" s="120"/>
      <c r="L1105" s="120"/>
      <c r="M1105" s="120"/>
      <c r="N1105" s="23" t="s">
        <v>3068</v>
      </c>
      <c r="O1105" s="23" t="s">
        <v>2450</v>
      </c>
      <c r="P1105" s="24" t="str">
        <f t="shared" si="18"/>
        <v>学校のあゆみ／加太小学校のれきし</v>
      </c>
      <c r="Q1105" s="47" t="str">
        <f>HYPERLINK("http:/kameyamarekihaku.jp/sisi/RekisiHP/kingendai/quiz/school/schoo01l.html","市史近代・現代ページ 学校クイズ")</f>
        <v>市史近代・現代ページ 学校クイズ</v>
      </c>
      <c r="R1105" s="142" t="s">
        <v>2451</v>
      </c>
    </row>
    <row r="1106" spans="1:18" s="6" customFormat="1" ht="30" customHeight="1" x14ac:dyDescent="0.15">
      <c r="A1106" s="120" t="s">
        <v>2375</v>
      </c>
      <c r="B1106" s="120">
        <v>20</v>
      </c>
      <c r="C1106" s="175" t="s">
        <v>3054</v>
      </c>
      <c r="D1106" s="175">
        <v>1956</v>
      </c>
      <c r="E1106" s="144" t="s">
        <v>20</v>
      </c>
      <c r="F1106" s="175"/>
      <c r="G1106" s="175" t="s">
        <v>3069</v>
      </c>
      <c r="H1106" s="120" t="s">
        <v>1336</v>
      </c>
      <c r="I1106" s="175"/>
      <c r="J1106" s="120"/>
      <c r="K1106" s="120"/>
      <c r="L1106" s="120"/>
      <c r="M1106" s="120"/>
      <c r="N1106" s="23"/>
      <c r="O1106" s="23" t="e">
        <v>#VALUE!</v>
      </c>
      <c r="P1106" s="24" t="str">
        <f t="shared" si="18"/>
        <v/>
      </c>
      <c r="Q1106" s="25" t="str">
        <f>HYPERLINK("http:/kameyamarekihaku.jp/sisi/RekisiHP/kingendai/01/s31siryo/s31.html","市史近代・現代ページ　昭和31（1956)年の資料")</f>
        <v>市史近代・現代ページ　昭和31（1956)年の資料</v>
      </c>
      <c r="R1106" s="142" t="s">
        <v>2451</v>
      </c>
    </row>
    <row r="1107" spans="1:18" s="6" customFormat="1" ht="60.75" customHeight="1" x14ac:dyDescent="0.15">
      <c r="A1107" s="120" t="s">
        <v>2375</v>
      </c>
      <c r="B1107" s="120">
        <v>20</v>
      </c>
      <c r="C1107" s="175" t="s">
        <v>3054</v>
      </c>
      <c r="D1107" s="175">
        <v>1956</v>
      </c>
      <c r="E1107" s="144" t="s">
        <v>20</v>
      </c>
      <c r="F1107" s="175"/>
      <c r="G1107" s="175" t="s">
        <v>3070</v>
      </c>
      <c r="H1107" s="120" t="s">
        <v>3071</v>
      </c>
      <c r="I1107" s="175" t="s">
        <v>3072</v>
      </c>
      <c r="J1107" s="120" t="s">
        <v>3073</v>
      </c>
      <c r="K1107" s="120"/>
      <c r="L1107" s="120"/>
      <c r="M1107" s="120"/>
      <c r="N1107" s="23"/>
      <c r="O1107" s="23" t="e">
        <v>#VALUE!</v>
      </c>
      <c r="P1107" s="24" t="str">
        <f t="shared" si="18"/>
        <v/>
      </c>
      <c r="Q1107" s="47" t="str">
        <f>HYPERLINK("http://kameyamarekihaku.jp/sisi/RekisiHP/kingendai/saigai/saigai-showa/saigai-showa-39.html","市史近代・現代ページ　亀山の災害")</f>
        <v>市史近代・現代ページ　亀山の災害</v>
      </c>
      <c r="R1107" s="142" t="s">
        <v>2371</v>
      </c>
    </row>
    <row r="1108" spans="1:18" s="6" customFormat="1" ht="44.25" customHeight="1" x14ac:dyDescent="0.15">
      <c r="A1108" s="120" t="s">
        <v>2375</v>
      </c>
      <c r="B1108" s="120">
        <v>20</v>
      </c>
      <c r="C1108" s="175" t="s">
        <v>3054</v>
      </c>
      <c r="D1108" s="175">
        <v>1956</v>
      </c>
      <c r="E1108" s="144" t="s">
        <v>20</v>
      </c>
      <c r="F1108" s="175"/>
      <c r="G1108" s="196" t="s">
        <v>3074</v>
      </c>
      <c r="H1108" s="120" t="s">
        <v>3075</v>
      </c>
      <c r="I1108" s="175"/>
      <c r="J1108" s="120"/>
      <c r="K1108" s="120"/>
      <c r="L1108" s="120"/>
      <c r="M1108" s="120"/>
      <c r="N1108" s="12"/>
      <c r="O1108" s="12" t="e">
        <v>#VALUE!</v>
      </c>
      <c r="P1108" s="13" t="str">
        <f t="shared" si="18"/>
        <v/>
      </c>
      <c r="Q1108" s="192"/>
      <c r="R1108" s="142" t="s">
        <v>3076</v>
      </c>
    </row>
    <row r="1109" spans="1:18" s="6" customFormat="1" ht="28.15" customHeight="1" x14ac:dyDescent="0.15">
      <c r="A1109" s="120" t="s">
        <v>2375</v>
      </c>
      <c r="B1109" s="120">
        <v>20</v>
      </c>
      <c r="C1109" s="175" t="s">
        <v>3054</v>
      </c>
      <c r="D1109" s="175">
        <v>1956</v>
      </c>
      <c r="E1109" s="144" t="s">
        <v>20</v>
      </c>
      <c r="F1109" s="175"/>
      <c r="G1109" s="175" t="s">
        <v>3077</v>
      </c>
      <c r="H1109" s="120" t="s">
        <v>199</v>
      </c>
      <c r="I1109" s="175"/>
      <c r="J1109" s="120"/>
      <c r="K1109" s="120"/>
      <c r="L1109" s="120"/>
      <c r="M1109" s="120"/>
      <c r="N1109" s="12"/>
      <c r="O1109" s="12" t="e">
        <v>#VALUE!</v>
      </c>
      <c r="P1109" s="13" t="str">
        <f t="shared" si="18"/>
        <v/>
      </c>
      <c r="Q1109" s="192"/>
      <c r="R1109" s="142" t="s">
        <v>2462</v>
      </c>
    </row>
    <row r="1110" spans="1:18" s="139" customFormat="1" ht="15" customHeight="1" x14ac:dyDescent="0.15">
      <c r="A1110" s="142" t="s">
        <v>2375</v>
      </c>
      <c r="B1110" s="142">
        <v>20</v>
      </c>
      <c r="C1110" s="143"/>
      <c r="D1110" s="143"/>
      <c r="E1110" s="144" t="s">
        <v>20</v>
      </c>
      <c r="F1110" s="143" t="s">
        <v>3078</v>
      </c>
      <c r="G1110" s="143"/>
      <c r="H1110" s="142"/>
      <c r="I1110" s="143"/>
      <c r="J1110" s="142"/>
      <c r="K1110" s="142"/>
      <c r="L1110" s="142"/>
      <c r="M1110" s="142"/>
      <c r="N1110" s="12"/>
      <c r="O1110" s="12" t="e">
        <v>#VALUE!</v>
      </c>
      <c r="P1110" s="13" t="str">
        <f t="shared" si="18"/>
        <v/>
      </c>
      <c r="Q1110" s="158"/>
      <c r="R1110" s="142"/>
    </row>
    <row r="1111" spans="1:18" s="139" customFormat="1" ht="36.75" customHeight="1" x14ac:dyDescent="0.15">
      <c r="A1111" s="142" t="s">
        <v>2375</v>
      </c>
      <c r="B1111" s="142">
        <v>20</v>
      </c>
      <c r="C1111" s="143" t="s">
        <v>3079</v>
      </c>
      <c r="D1111" s="143">
        <v>1957</v>
      </c>
      <c r="E1111" s="144" t="s">
        <v>20</v>
      </c>
      <c r="F1111" s="143"/>
      <c r="G1111" s="143" t="s">
        <v>3080</v>
      </c>
      <c r="H1111" s="120" t="s">
        <v>464</v>
      </c>
      <c r="I1111" s="175" t="s">
        <v>947</v>
      </c>
      <c r="J1111" s="142" t="s">
        <v>3081</v>
      </c>
      <c r="K1111" s="142"/>
      <c r="L1111" s="142"/>
      <c r="M1111" s="142"/>
      <c r="N1111" s="12" t="s">
        <v>2493</v>
      </c>
      <c r="O1111" s="12" t="s">
        <v>2484</v>
      </c>
      <c r="P1111" s="13" t="str">
        <f t="shared" si="18"/>
        <v>日本の歴史の中の亀山／現代の亀山／交通と通信／バス</v>
      </c>
      <c r="Q1111" s="158"/>
      <c r="R1111" s="142" t="s">
        <v>2936</v>
      </c>
    </row>
    <row r="1112" spans="1:18" s="139" customFormat="1" ht="43.5" customHeight="1" x14ac:dyDescent="0.15">
      <c r="A1112" s="142" t="s">
        <v>2375</v>
      </c>
      <c r="B1112" s="142">
        <v>20</v>
      </c>
      <c r="C1112" s="143" t="s">
        <v>3079</v>
      </c>
      <c r="D1112" s="143">
        <v>1957</v>
      </c>
      <c r="E1112" s="144" t="s">
        <v>34</v>
      </c>
      <c r="F1112" s="143"/>
      <c r="G1112" s="143" t="s">
        <v>3082</v>
      </c>
      <c r="H1112" s="120" t="s">
        <v>464</v>
      </c>
      <c r="I1112" s="175" t="s">
        <v>947</v>
      </c>
      <c r="J1112" s="142" t="s">
        <v>3083</v>
      </c>
      <c r="K1112" s="142"/>
      <c r="L1112" s="142" t="s">
        <v>3084</v>
      </c>
      <c r="M1112" s="142"/>
      <c r="N1112" s="23"/>
      <c r="O1112" s="23" t="e">
        <v>#VALUE!</v>
      </c>
      <c r="P1112" s="24" t="str">
        <f t="shared" si="18"/>
        <v/>
      </c>
      <c r="Q1112" s="25" t="str">
        <f>HYPERLINK("http:/kameyamarekihaku.jp/sisi/tuusiHP_next/tuusi-index.html#kingendai0901","市史通史編 近代・現代第9章第1節第1項")</f>
        <v>市史通史編 近代・現代第9章第1節第1項</v>
      </c>
      <c r="R1112" s="142" t="s">
        <v>2936</v>
      </c>
    </row>
    <row r="1113" spans="1:18" s="139" customFormat="1" ht="28.5" customHeight="1" x14ac:dyDescent="0.15">
      <c r="A1113" s="142" t="s">
        <v>2375</v>
      </c>
      <c r="B1113" s="142">
        <v>20</v>
      </c>
      <c r="C1113" s="143" t="s">
        <v>3079</v>
      </c>
      <c r="D1113" s="143">
        <v>1957</v>
      </c>
      <c r="E1113" s="144" t="s">
        <v>20</v>
      </c>
      <c r="F1113" s="143"/>
      <c r="G1113" s="143" t="s">
        <v>3085</v>
      </c>
      <c r="H1113" s="120" t="s">
        <v>3086</v>
      </c>
      <c r="I1113" s="175" t="s">
        <v>3087</v>
      </c>
      <c r="J1113" s="142" t="s">
        <v>3088</v>
      </c>
      <c r="K1113" s="142"/>
      <c r="L1113" s="142"/>
      <c r="M1113" s="142"/>
      <c r="N1113" s="12" t="s">
        <v>2919</v>
      </c>
      <c r="O1113" s="12" t="s">
        <v>2731</v>
      </c>
      <c r="P1113" s="13" t="str">
        <f t="shared" si="18"/>
        <v>日本の歴史の中の亀山／現代の亀山／教育と医療・福祉／保育園</v>
      </c>
      <c r="Q1113" s="158"/>
      <c r="R1113" s="142" t="s">
        <v>3089</v>
      </c>
    </row>
    <row r="1114" spans="1:18" s="139" customFormat="1" ht="15" customHeight="1" x14ac:dyDescent="0.15">
      <c r="A1114" s="142" t="s">
        <v>2375</v>
      </c>
      <c r="B1114" s="142">
        <v>20</v>
      </c>
      <c r="C1114" s="143" t="s">
        <v>3079</v>
      </c>
      <c r="D1114" s="143">
        <v>1957</v>
      </c>
      <c r="E1114" s="144" t="s">
        <v>20</v>
      </c>
      <c r="F1114" s="143"/>
      <c r="G1114" s="143" t="s">
        <v>3090</v>
      </c>
      <c r="H1114" s="120"/>
      <c r="I1114" s="175"/>
      <c r="J1114" s="142" t="s">
        <v>2922</v>
      </c>
      <c r="K1114" s="142"/>
      <c r="L1114" s="142"/>
      <c r="M1114" s="142"/>
      <c r="N1114" s="12"/>
      <c r="O1114" s="12" t="e">
        <v>#VALUE!</v>
      </c>
      <c r="P1114" s="13" t="str">
        <f t="shared" si="18"/>
        <v/>
      </c>
      <c r="Q1114" s="158"/>
      <c r="R1114" s="142" t="s">
        <v>2936</v>
      </c>
    </row>
    <row r="1115" spans="1:18" s="139" customFormat="1" ht="28.5" customHeight="1" x14ac:dyDescent="0.15">
      <c r="A1115" s="142" t="s">
        <v>2375</v>
      </c>
      <c r="B1115" s="142">
        <v>20</v>
      </c>
      <c r="C1115" s="143" t="s">
        <v>3079</v>
      </c>
      <c r="D1115" s="143">
        <v>1957</v>
      </c>
      <c r="E1115" s="144" t="s">
        <v>20</v>
      </c>
      <c r="F1115" s="143"/>
      <c r="G1115" s="143" t="s">
        <v>3091</v>
      </c>
      <c r="H1115" s="120" t="s">
        <v>2656</v>
      </c>
      <c r="I1115" s="175" t="s">
        <v>3092</v>
      </c>
      <c r="J1115" s="142"/>
      <c r="K1115" s="142"/>
      <c r="L1115" s="142"/>
      <c r="M1115" s="142"/>
      <c r="N1115" s="12"/>
      <c r="O1115" s="12" t="e">
        <v>#VALUE!</v>
      </c>
      <c r="P1115" s="13" t="str">
        <f t="shared" si="18"/>
        <v/>
      </c>
      <c r="Q1115" s="158"/>
      <c r="R1115" s="142" t="s">
        <v>2936</v>
      </c>
    </row>
    <row r="1116" spans="1:18" s="139" customFormat="1" ht="30" customHeight="1" x14ac:dyDescent="0.15">
      <c r="A1116" s="145" t="s">
        <v>2375</v>
      </c>
      <c r="B1116" s="145">
        <v>20</v>
      </c>
      <c r="C1116" s="146" t="s">
        <v>3079</v>
      </c>
      <c r="D1116" s="146">
        <v>1957</v>
      </c>
      <c r="E1116" s="147" t="s">
        <v>34</v>
      </c>
      <c r="F1116" s="146"/>
      <c r="G1116" s="146" t="s">
        <v>3093</v>
      </c>
      <c r="H1116" s="145"/>
      <c r="I1116" s="146"/>
      <c r="J1116" s="145"/>
      <c r="K1116" s="145"/>
      <c r="L1116" s="71" t="str">
        <f>HYPERLINK("http://kameyamarekihaku.jp/sisi/RekisiHP/kingendai/kameyamakouta/kameyamakouta-index.html","音声（亀山市史）")</f>
        <v>音声（亀山市史）</v>
      </c>
      <c r="M1116" s="145"/>
      <c r="N1116" s="176"/>
      <c r="O1116" s="177" t="e">
        <v>#VALUE!</v>
      </c>
      <c r="P1116" s="124" t="str">
        <f t="shared" si="18"/>
        <v/>
      </c>
      <c r="Q1116" s="145"/>
      <c r="R1116" s="347" t="s">
        <v>3094</v>
      </c>
    </row>
    <row r="1117" spans="1:18" s="208" customFormat="1" ht="18" customHeight="1" x14ac:dyDescent="0.15">
      <c r="A1117" s="151"/>
      <c r="B1117" s="151"/>
      <c r="C1117" s="152"/>
      <c r="D1117" s="152"/>
      <c r="E1117" s="153"/>
      <c r="F1117" s="152"/>
      <c r="G1117" s="152"/>
      <c r="H1117" s="151"/>
      <c r="I1117" s="152"/>
      <c r="J1117" s="151"/>
      <c r="K1117" s="151"/>
      <c r="L1117" s="102" t="str">
        <f>HYPERLINK("http:/kameyamarekihaku.jp/sisi/tuusiHP_next/kingendai/image/07/gi.htm?pf=3065sh007-08.JPG&amp;?pn=%E4%BA%80%E5%B1%B1%E5%B0%8F%E5%94%84%E8%88%9E%E8%B8%8F%E7%B5%B5%E3%81%AF%E3%81%8C%E3%81%8D","亀山小唄舞踏絵はがき")</f>
        <v>亀山小唄舞踏絵はがき</v>
      </c>
      <c r="M1117" s="151"/>
      <c r="N1117" s="53"/>
      <c r="O1117" s="29" t="e">
        <v>#VALUE!</v>
      </c>
      <c r="P1117" s="30" t="str">
        <f t="shared" si="18"/>
        <v/>
      </c>
      <c r="Q1117" s="102"/>
      <c r="R1117" s="348"/>
    </row>
    <row r="1118" spans="1:18" s="139" customFormat="1" ht="15" customHeight="1" x14ac:dyDescent="0.15">
      <c r="A1118" s="142" t="s">
        <v>2375</v>
      </c>
      <c r="B1118" s="142">
        <v>20</v>
      </c>
      <c r="C1118" s="143" t="s">
        <v>3079</v>
      </c>
      <c r="D1118" s="143">
        <v>1957</v>
      </c>
      <c r="E1118" s="144" t="s">
        <v>20</v>
      </c>
      <c r="F1118" s="143"/>
      <c r="G1118" s="143" t="s">
        <v>3095</v>
      </c>
      <c r="H1118" s="142" t="s">
        <v>199</v>
      </c>
      <c r="I1118" s="175" t="s">
        <v>2367</v>
      </c>
      <c r="J1118" s="142" t="s">
        <v>3096</v>
      </c>
      <c r="K1118" s="142"/>
      <c r="L1118" s="142"/>
      <c r="M1118" s="142"/>
      <c r="N1118" s="12"/>
      <c r="O1118" s="12" t="e">
        <v>#VALUE!</v>
      </c>
      <c r="P1118" s="13" t="str">
        <f t="shared" si="18"/>
        <v/>
      </c>
      <c r="Q1118" s="158"/>
      <c r="R1118" s="142" t="s">
        <v>2371</v>
      </c>
    </row>
    <row r="1119" spans="1:18" s="139" customFormat="1" ht="15" customHeight="1" x14ac:dyDescent="0.15">
      <c r="A1119" s="142" t="s">
        <v>2375</v>
      </c>
      <c r="B1119" s="142">
        <v>20</v>
      </c>
      <c r="C1119" s="143" t="s">
        <v>3079</v>
      </c>
      <c r="D1119" s="143">
        <v>1957</v>
      </c>
      <c r="E1119" s="144" t="s">
        <v>20</v>
      </c>
      <c r="F1119" s="143"/>
      <c r="G1119" s="143" t="s">
        <v>3097</v>
      </c>
      <c r="H1119" s="142" t="s">
        <v>199</v>
      </c>
      <c r="I1119" s="175" t="s">
        <v>2475</v>
      </c>
      <c r="J1119" s="142" t="s">
        <v>3098</v>
      </c>
      <c r="K1119" s="142"/>
      <c r="L1119" s="142"/>
      <c r="M1119" s="142"/>
      <c r="N1119" s="12"/>
      <c r="O1119" s="12" t="e">
        <v>#VALUE!</v>
      </c>
      <c r="P1119" s="13" t="str">
        <f t="shared" si="18"/>
        <v/>
      </c>
      <c r="Q1119" s="158"/>
      <c r="R1119" s="142" t="s">
        <v>2371</v>
      </c>
    </row>
    <row r="1120" spans="1:18" s="139" customFormat="1" ht="28.5" customHeight="1" x14ac:dyDescent="0.15">
      <c r="A1120" s="142" t="s">
        <v>2375</v>
      </c>
      <c r="B1120" s="142">
        <v>20</v>
      </c>
      <c r="C1120" s="143" t="s">
        <v>3079</v>
      </c>
      <c r="D1120" s="143">
        <v>1957</v>
      </c>
      <c r="E1120" s="144" t="s">
        <v>20</v>
      </c>
      <c r="F1120" s="143"/>
      <c r="G1120" s="143" t="s">
        <v>3099</v>
      </c>
      <c r="H1120" s="142" t="s">
        <v>199</v>
      </c>
      <c r="I1120" s="175" t="s">
        <v>3100</v>
      </c>
      <c r="J1120" s="142" t="s">
        <v>3101</v>
      </c>
      <c r="K1120" s="142"/>
      <c r="L1120" s="142"/>
      <c r="M1120" s="142"/>
      <c r="N1120" s="12"/>
      <c r="O1120" s="12" t="e">
        <v>#VALUE!</v>
      </c>
      <c r="P1120" s="13" t="str">
        <f t="shared" si="18"/>
        <v/>
      </c>
      <c r="Q1120" s="158"/>
      <c r="R1120" s="142" t="s">
        <v>2371</v>
      </c>
    </row>
    <row r="1121" spans="1:18" s="139" customFormat="1" ht="28.5" customHeight="1" x14ac:dyDescent="0.15">
      <c r="A1121" s="142" t="s">
        <v>2375</v>
      </c>
      <c r="B1121" s="142">
        <v>20</v>
      </c>
      <c r="C1121" s="143" t="s">
        <v>3079</v>
      </c>
      <c r="D1121" s="143">
        <v>1957</v>
      </c>
      <c r="E1121" s="144" t="s">
        <v>20</v>
      </c>
      <c r="F1121" s="143"/>
      <c r="G1121" s="143" t="s">
        <v>3102</v>
      </c>
      <c r="H1121" s="142" t="s">
        <v>199</v>
      </c>
      <c r="I1121" s="143" t="s">
        <v>3103</v>
      </c>
      <c r="J1121" s="142"/>
      <c r="K1121" s="142"/>
      <c r="L1121" s="142"/>
      <c r="M1121" s="142"/>
      <c r="N1121" s="23" t="s">
        <v>2789</v>
      </c>
      <c r="O1121" s="23" t="s">
        <v>2790</v>
      </c>
      <c r="P1121" s="24" t="str">
        <f t="shared" si="18"/>
        <v>学校のあゆみ／関中学校のれきし</v>
      </c>
      <c r="Q1121" s="25" t="str">
        <f>HYPERLINK("http:/kameyamarekihaku.jp/sisi/RekisiHP/kingendai/quiz/school/schoo01l.html","市史近代・現代ページ 学校クイズ")</f>
        <v>市史近代・現代ページ 学校クイズ</v>
      </c>
      <c r="R1121" s="142" t="s">
        <v>2451</v>
      </c>
    </row>
    <row r="1122" spans="1:18" s="139" customFormat="1" ht="15" customHeight="1" x14ac:dyDescent="0.15">
      <c r="A1122" s="145" t="s">
        <v>2375</v>
      </c>
      <c r="B1122" s="145">
        <v>20</v>
      </c>
      <c r="C1122" s="146" t="s">
        <v>3079</v>
      </c>
      <c r="D1122" s="146">
        <v>1957</v>
      </c>
      <c r="E1122" s="147" t="s">
        <v>34</v>
      </c>
      <c r="F1122" s="146"/>
      <c r="G1122" s="146" t="s">
        <v>3104</v>
      </c>
      <c r="H1122" s="145" t="s">
        <v>199</v>
      </c>
      <c r="I1122" s="163" t="s">
        <v>3063</v>
      </c>
      <c r="J1122" s="88" t="s">
        <v>3105</v>
      </c>
      <c r="K1122" s="145"/>
      <c r="L1122" s="145"/>
      <c r="M1122" s="88" t="s">
        <v>3105</v>
      </c>
      <c r="N1122" s="34" t="s">
        <v>2329</v>
      </c>
      <c r="O1122" s="34" t="s">
        <v>774</v>
      </c>
      <c r="P1122" s="35" t="str">
        <f t="shared" si="18"/>
        <v>亀山のいいとこさがし／建物</v>
      </c>
      <c r="Q1122" s="164"/>
      <c r="R1122" s="145" t="s">
        <v>2371</v>
      </c>
    </row>
    <row r="1123" spans="1:18" s="139" customFormat="1" ht="60" customHeight="1" x14ac:dyDescent="0.15">
      <c r="A1123" s="151"/>
      <c r="B1123" s="151"/>
      <c r="C1123" s="152"/>
      <c r="D1123" s="152"/>
      <c r="E1123" s="153"/>
      <c r="F1123" s="152"/>
      <c r="G1123" s="152"/>
      <c r="H1123" s="151"/>
      <c r="I1123" s="169"/>
      <c r="J1123" s="91"/>
      <c r="K1123" s="151"/>
      <c r="L1123" s="151"/>
      <c r="M1123" s="91"/>
      <c r="N1123" s="86" t="s">
        <v>2331</v>
      </c>
      <c r="O1123" s="86" t="s">
        <v>776</v>
      </c>
      <c r="P1123" s="87" t="str">
        <f t="shared" si="18"/>
        <v>亀山のいいとこさがし／景色のよいところや歴史を知る手掛かりとなるもの／関宿のまちなみ／新所のまちなみ／地蔵院本堂・鐘楼・愛染堂</v>
      </c>
      <c r="Q1123" s="172"/>
      <c r="R1123" s="151"/>
    </row>
    <row r="1124" spans="1:18" s="139" customFormat="1" ht="43.5" customHeight="1" x14ac:dyDescent="0.15">
      <c r="A1124" s="142" t="s">
        <v>2375</v>
      </c>
      <c r="B1124" s="142">
        <v>20</v>
      </c>
      <c r="C1124" s="143" t="s">
        <v>3079</v>
      </c>
      <c r="D1124" s="143">
        <v>1957</v>
      </c>
      <c r="E1124" s="144" t="s">
        <v>20</v>
      </c>
      <c r="F1124" s="143"/>
      <c r="G1124" s="143" t="s">
        <v>3106</v>
      </c>
      <c r="H1124" s="142" t="s">
        <v>3107</v>
      </c>
      <c r="I1124" s="143"/>
      <c r="J1124" s="142" t="s">
        <v>3108</v>
      </c>
      <c r="K1124" s="142"/>
      <c r="L1124" s="142"/>
      <c r="M1124" s="142"/>
      <c r="N1124" s="12" t="s">
        <v>2493</v>
      </c>
      <c r="O1124" s="12" t="s">
        <v>2484</v>
      </c>
      <c r="P1124" s="13" t="str">
        <f t="shared" si="18"/>
        <v>日本の歴史の中の亀山／現代の亀山／交通と通信／バス</v>
      </c>
      <c r="Q1124" s="158"/>
      <c r="R1124" s="142" t="s">
        <v>2371</v>
      </c>
    </row>
    <row r="1125" spans="1:18" s="139" customFormat="1" ht="15" customHeight="1" x14ac:dyDescent="0.15">
      <c r="A1125" s="142" t="s">
        <v>2375</v>
      </c>
      <c r="B1125" s="142">
        <v>20</v>
      </c>
      <c r="C1125" s="143" t="s">
        <v>3079</v>
      </c>
      <c r="D1125" s="143">
        <v>1957</v>
      </c>
      <c r="E1125" s="144" t="s">
        <v>20</v>
      </c>
      <c r="F1125" s="143"/>
      <c r="G1125" s="143" t="s">
        <v>3109</v>
      </c>
      <c r="H1125" s="120" t="s">
        <v>464</v>
      </c>
      <c r="I1125" s="175" t="s">
        <v>1833</v>
      </c>
      <c r="J1125" s="142" t="s">
        <v>3110</v>
      </c>
      <c r="K1125" s="142"/>
      <c r="L1125" s="142"/>
      <c r="M1125" s="142"/>
      <c r="N1125" s="12"/>
      <c r="O1125" s="12" t="e">
        <v>#VALUE!</v>
      </c>
      <c r="P1125" s="13" t="str">
        <f t="shared" si="18"/>
        <v/>
      </c>
      <c r="Q1125" s="158"/>
      <c r="R1125" s="142" t="s">
        <v>2371</v>
      </c>
    </row>
    <row r="1126" spans="1:18" s="139" customFormat="1" ht="43.5" customHeight="1" x14ac:dyDescent="0.15">
      <c r="A1126" s="142" t="s">
        <v>2375</v>
      </c>
      <c r="B1126" s="142">
        <v>20</v>
      </c>
      <c r="C1126" s="143" t="s">
        <v>3079</v>
      </c>
      <c r="D1126" s="143">
        <v>1957</v>
      </c>
      <c r="E1126" s="144" t="s">
        <v>20</v>
      </c>
      <c r="F1126" s="143"/>
      <c r="G1126" s="143" t="s">
        <v>3111</v>
      </c>
      <c r="H1126" s="142"/>
      <c r="I1126" s="143"/>
      <c r="J1126" s="142"/>
      <c r="K1126" s="142"/>
      <c r="L1126" s="142"/>
      <c r="M1126" s="142"/>
      <c r="N1126" s="23"/>
      <c r="O1126" s="23" t="e">
        <v>#VALUE!</v>
      </c>
      <c r="P1126" s="24" t="str">
        <f t="shared" si="18"/>
        <v/>
      </c>
      <c r="Q1126" s="25" t="str">
        <f>HYPERLINK("http:/kameyamarekihaku.jp/sisi/tuusiHP_next/tuusi-index.html#kingendai0904","市史通史編 近代・現代第9章第4節")</f>
        <v>市史通史編 近代・現代第9章第4節</v>
      </c>
      <c r="R1126" s="142" t="s">
        <v>2858</v>
      </c>
    </row>
    <row r="1127" spans="1:18" s="139" customFormat="1" ht="60.75" customHeight="1" x14ac:dyDescent="0.15">
      <c r="A1127" s="142" t="s">
        <v>2375</v>
      </c>
      <c r="B1127" s="142">
        <v>20</v>
      </c>
      <c r="C1127" s="143" t="s">
        <v>3112</v>
      </c>
      <c r="D1127" s="143">
        <v>1958</v>
      </c>
      <c r="E1127" s="144" t="s">
        <v>20</v>
      </c>
      <c r="F1127" s="143"/>
      <c r="G1127" s="143" t="s">
        <v>3113</v>
      </c>
      <c r="H1127" s="142" t="s">
        <v>3114</v>
      </c>
      <c r="I1127" s="143" t="s">
        <v>3115</v>
      </c>
      <c r="J1127" s="142"/>
      <c r="K1127" s="142"/>
      <c r="L1127" s="142"/>
      <c r="M1127" s="142"/>
      <c r="N1127" s="23"/>
      <c r="O1127" s="23" t="e">
        <v>#VALUE!</v>
      </c>
      <c r="P1127" s="24" t="str">
        <f t="shared" si="18"/>
        <v/>
      </c>
      <c r="Q1127" s="25" t="str">
        <f>HYPERLINK("http:/kameyamarekihaku.jp/sisi/RekisiHP/kingendai/01/s33siryo/s33.html","市史近代・現代ページ　昭和33（1958)年の資料")</f>
        <v>市史近代・現代ページ　昭和33（1958)年の資料</v>
      </c>
      <c r="R1127" s="142" t="s">
        <v>3116</v>
      </c>
    </row>
    <row r="1128" spans="1:18" s="139" customFormat="1" ht="34.5" customHeight="1" x14ac:dyDescent="0.15">
      <c r="A1128" s="142" t="s">
        <v>2375</v>
      </c>
      <c r="B1128" s="142">
        <v>20</v>
      </c>
      <c r="C1128" s="143" t="s">
        <v>3112</v>
      </c>
      <c r="D1128" s="143">
        <v>1958</v>
      </c>
      <c r="E1128" s="144" t="s">
        <v>20</v>
      </c>
      <c r="F1128" s="143"/>
      <c r="G1128" s="143" t="s">
        <v>3117</v>
      </c>
      <c r="H1128" s="142" t="s">
        <v>2656</v>
      </c>
      <c r="I1128" s="143"/>
      <c r="J1128" s="120"/>
      <c r="K1128" s="142"/>
      <c r="L1128" s="142"/>
      <c r="M1128" s="142"/>
      <c r="N1128" s="12" t="s">
        <v>2493</v>
      </c>
      <c r="O1128" s="12" t="s">
        <v>2484</v>
      </c>
      <c r="P1128" s="13" t="str">
        <f t="shared" si="18"/>
        <v>日本の歴史の中の亀山／現代の亀山／交通と通信／バス</v>
      </c>
      <c r="Q1128" s="192"/>
      <c r="R1128" s="142" t="s">
        <v>2936</v>
      </c>
    </row>
    <row r="1129" spans="1:18" s="139" customFormat="1" ht="33" customHeight="1" x14ac:dyDescent="0.15">
      <c r="A1129" s="142" t="s">
        <v>2375</v>
      </c>
      <c r="B1129" s="142">
        <v>20</v>
      </c>
      <c r="C1129" s="143" t="s">
        <v>3112</v>
      </c>
      <c r="D1129" s="143">
        <v>1958</v>
      </c>
      <c r="E1129" s="144" t="s">
        <v>20</v>
      </c>
      <c r="F1129" s="143"/>
      <c r="G1129" s="143" t="s">
        <v>3118</v>
      </c>
      <c r="H1129" s="142" t="s">
        <v>2191</v>
      </c>
      <c r="I1129" s="143"/>
      <c r="J1129" s="142" t="s">
        <v>3119</v>
      </c>
      <c r="K1129" s="142"/>
      <c r="L1129" s="142"/>
      <c r="M1129" s="142"/>
      <c r="N1129" s="12" t="s">
        <v>3034</v>
      </c>
      <c r="O1129" s="12" t="s">
        <v>3035</v>
      </c>
      <c r="P1129" s="13" t="str">
        <f t="shared" si="18"/>
        <v>日本の歴史の中の亀山／現代の亀山／行政と政治／水道</v>
      </c>
      <c r="Q1129" s="158"/>
      <c r="R1129" s="142" t="s">
        <v>2936</v>
      </c>
    </row>
    <row r="1130" spans="1:18" s="139" customFormat="1" ht="28.5" customHeight="1" x14ac:dyDescent="0.15">
      <c r="A1130" s="142" t="s">
        <v>2375</v>
      </c>
      <c r="B1130" s="142">
        <v>20</v>
      </c>
      <c r="C1130" s="143" t="s">
        <v>3112</v>
      </c>
      <c r="D1130" s="143">
        <v>1958</v>
      </c>
      <c r="E1130" s="144" t="s">
        <v>20</v>
      </c>
      <c r="F1130" s="143"/>
      <c r="G1130" s="143" t="s">
        <v>3120</v>
      </c>
      <c r="H1130" s="142" t="s">
        <v>464</v>
      </c>
      <c r="I1130" s="143" t="s">
        <v>3121</v>
      </c>
      <c r="J1130" s="142" t="s">
        <v>3122</v>
      </c>
      <c r="K1130" s="142"/>
      <c r="L1130" s="142" t="s">
        <v>3123</v>
      </c>
      <c r="M1130" s="142"/>
      <c r="N1130" s="12"/>
      <c r="O1130" s="12" t="e">
        <v>#VALUE!</v>
      </c>
      <c r="P1130" s="13" t="str">
        <f t="shared" si="18"/>
        <v/>
      </c>
      <c r="Q1130" s="158"/>
      <c r="R1130" s="142" t="s">
        <v>3124</v>
      </c>
    </row>
    <row r="1131" spans="1:18" s="139" customFormat="1" ht="28.5" customHeight="1" x14ac:dyDescent="0.15">
      <c r="A1131" s="142" t="s">
        <v>2375</v>
      </c>
      <c r="B1131" s="142">
        <v>20</v>
      </c>
      <c r="C1131" s="143" t="s">
        <v>3112</v>
      </c>
      <c r="D1131" s="143">
        <v>1958</v>
      </c>
      <c r="E1131" s="144" t="s">
        <v>20</v>
      </c>
      <c r="F1131" s="143"/>
      <c r="G1131" s="143" t="s">
        <v>3125</v>
      </c>
      <c r="H1131" s="142" t="s">
        <v>199</v>
      </c>
      <c r="I1131" s="175" t="s">
        <v>2475</v>
      </c>
      <c r="J1131" s="142" t="s">
        <v>3126</v>
      </c>
      <c r="K1131" s="142"/>
      <c r="L1131" s="142"/>
      <c r="M1131" s="142"/>
      <c r="N1131" s="12"/>
      <c r="O1131" s="12" t="e">
        <v>#VALUE!</v>
      </c>
      <c r="P1131" s="13" t="str">
        <f t="shared" si="18"/>
        <v/>
      </c>
      <c r="Q1131" s="158"/>
      <c r="R1131" s="142" t="s">
        <v>2371</v>
      </c>
    </row>
    <row r="1132" spans="1:18" s="139" customFormat="1" ht="15" customHeight="1" x14ac:dyDescent="0.15">
      <c r="A1132" s="142" t="s">
        <v>2375</v>
      </c>
      <c r="B1132" s="142">
        <v>20</v>
      </c>
      <c r="C1132" s="143" t="s">
        <v>3112</v>
      </c>
      <c r="D1132" s="143">
        <v>1958</v>
      </c>
      <c r="E1132" s="144" t="s">
        <v>20</v>
      </c>
      <c r="F1132" s="143"/>
      <c r="G1132" s="143" t="s">
        <v>3127</v>
      </c>
      <c r="H1132" s="142" t="s">
        <v>199</v>
      </c>
      <c r="I1132" s="175" t="s">
        <v>1800</v>
      </c>
      <c r="J1132" s="142" t="s">
        <v>3128</v>
      </c>
      <c r="K1132" s="142"/>
      <c r="L1132" s="142"/>
      <c r="M1132" s="142"/>
      <c r="N1132" s="12"/>
      <c r="O1132" s="12" t="e">
        <v>#VALUE!</v>
      </c>
      <c r="P1132" s="13" t="str">
        <f t="shared" si="18"/>
        <v/>
      </c>
      <c r="Q1132" s="158"/>
      <c r="R1132" s="142" t="s">
        <v>2371</v>
      </c>
    </row>
    <row r="1133" spans="1:18" s="139" customFormat="1" ht="28.5" customHeight="1" x14ac:dyDescent="0.15">
      <c r="A1133" s="142" t="s">
        <v>2375</v>
      </c>
      <c r="B1133" s="142">
        <v>20</v>
      </c>
      <c r="C1133" s="143" t="s">
        <v>3112</v>
      </c>
      <c r="D1133" s="143">
        <v>1958</v>
      </c>
      <c r="E1133" s="144" t="s">
        <v>34</v>
      </c>
      <c r="F1133" s="143"/>
      <c r="G1133" s="143" t="s">
        <v>3129</v>
      </c>
      <c r="H1133" s="142" t="s">
        <v>199</v>
      </c>
      <c r="I1133" s="143" t="s">
        <v>3130</v>
      </c>
      <c r="J1133" s="142"/>
      <c r="K1133" s="142"/>
      <c r="L1133" s="142"/>
      <c r="M1133" s="142"/>
      <c r="N1133" s="12"/>
      <c r="O1133" s="12" t="e">
        <v>#VALUE!</v>
      </c>
      <c r="P1133" s="13" t="str">
        <f t="shared" si="18"/>
        <v/>
      </c>
      <c r="Q1133" s="158"/>
      <c r="R1133" s="142" t="s">
        <v>2371</v>
      </c>
    </row>
    <row r="1134" spans="1:18" s="139" customFormat="1" ht="28.5" customHeight="1" x14ac:dyDescent="0.15">
      <c r="A1134" s="142" t="s">
        <v>2375</v>
      </c>
      <c r="B1134" s="142">
        <v>20</v>
      </c>
      <c r="C1134" s="143" t="s">
        <v>3112</v>
      </c>
      <c r="D1134" s="143">
        <v>1958</v>
      </c>
      <c r="E1134" s="144" t="s">
        <v>20</v>
      </c>
      <c r="F1134" s="143"/>
      <c r="G1134" s="143" t="s">
        <v>3131</v>
      </c>
      <c r="H1134" s="142"/>
      <c r="I1134" s="143"/>
      <c r="J1134" s="142"/>
      <c r="K1134" s="142"/>
      <c r="L1134" s="142"/>
      <c r="M1134" s="142"/>
      <c r="N1134" s="12"/>
      <c r="O1134" s="12" t="e">
        <v>#VALUE!</v>
      </c>
      <c r="P1134" s="13" t="str">
        <f t="shared" si="18"/>
        <v/>
      </c>
      <c r="Q1134" s="158"/>
      <c r="R1134" s="142" t="s">
        <v>2371</v>
      </c>
    </row>
    <row r="1135" spans="1:18" s="139" customFormat="1" ht="15" customHeight="1" x14ac:dyDescent="0.15">
      <c r="A1135" s="142" t="s">
        <v>2375</v>
      </c>
      <c r="B1135" s="142">
        <v>20</v>
      </c>
      <c r="C1135" s="143" t="s">
        <v>3112</v>
      </c>
      <c r="D1135" s="143">
        <v>1958</v>
      </c>
      <c r="E1135" s="144" t="s">
        <v>20</v>
      </c>
      <c r="F1135" s="143"/>
      <c r="G1135" s="143" t="s">
        <v>3132</v>
      </c>
      <c r="H1135" s="142"/>
      <c r="I1135" s="143"/>
      <c r="J1135" s="142"/>
      <c r="K1135" s="142"/>
      <c r="L1135" s="142"/>
      <c r="M1135" s="142"/>
      <c r="N1135" s="12"/>
      <c r="O1135" s="12" t="e">
        <v>#VALUE!</v>
      </c>
      <c r="P1135" s="13" t="str">
        <f t="shared" si="18"/>
        <v/>
      </c>
      <c r="Q1135" s="158"/>
      <c r="R1135" s="142" t="s">
        <v>2371</v>
      </c>
    </row>
    <row r="1136" spans="1:18" s="139" customFormat="1" ht="15.75" customHeight="1" x14ac:dyDescent="0.15">
      <c r="A1136" s="145" t="s">
        <v>2375</v>
      </c>
      <c r="B1136" s="145">
        <v>20</v>
      </c>
      <c r="C1136" s="146" t="s">
        <v>3112</v>
      </c>
      <c r="D1136" s="146">
        <v>1958</v>
      </c>
      <c r="E1136" s="147" t="s">
        <v>34</v>
      </c>
      <c r="F1136" s="146"/>
      <c r="G1136" s="345" t="s">
        <v>3133</v>
      </c>
      <c r="H1136" s="145" t="s">
        <v>199</v>
      </c>
      <c r="I1136" s="163" t="s">
        <v>3063</v>
      </c>
      <c r="J1136" s="88" t="s">
        <v>3105</v>
      </c>
      <c r="K1136" s="145"/>
      <c r="L1136" s="145"/>
      <c r="M1136" s="145"/>
      <c r="N1136" s="34" t="s">
        <v>2329</v>
      </c>
      <c r="O1136" s="34" t="s">
        <v>774</v>
      </c>
      <c r="P1136" s="35" t="str">
        <f t="shared" si="18"/>
        <v>亀山のいいとこさがし／建物</v>
      </c>
      <c r="Q1136" s="164"/>
      <c r="R1136" s="347" t="s">
        <v>2371</v>
      </c>
    </row>
    <row r="1137" spans="1:18" s="139" customFormat="1" ht="60.75" customHeight="1" x14ac:dyDescent="0.15">
      <c r="A1137" s="151"/>
      <c r="B1137" s="151"/>
      <c r="C1137" s="152"/>
      <c r="D1137" s="152"/>
      <c r="E1137" s="153"/>
      <c r="F1137" s="152"/>
      <c r="G1137" s="353"/>
      <c r="H1137" s="151"/>
      <c r="I1137" s="169"/>
      <c r="J1137" s="91"/>
      <c r="K1137" s="151"/>
      <c r="L1137" s="151"/>
      <c r="M1137" s="151"/>
      <c r="N1137" s="86" t="s">
        <v>2331</v>
      </c>
      <c r="O1137" s="86" t="s">
        <v>776</v>
      </c>
      <c r="P1137" s="87" t="str">
        <f t="shared" si="18"/>
        <v>亀山のいいとこさがし／景色のよいところや歴史を知る手掛かりとなるもの／関宿のまちなみ／新所のまちなみ／地蔵院本堂・鐘楼・愛染堂</v>
      </c>
      <c r="Q1137" s="172"/>
      <c r="R1137" s="348"/>
    </row>
    <row r="1138" spans="1:18" s="139" customFormat="1" ht="28.5" customHeight="1" x14ac:dyDescent="0.15">
      <c r="A1138" s="142" t="s">
        <v>2375</v>
      </c>
      <c r="B1138" s="142">
        <v>20</v>
      </c>
      <c r="C1138" s="143" t="s">
        <v>3112</v>
      </c>
      <c r="D1138" s="143">
        <v>1958</v>
      </c>
      <c r="E1138" s="144" t="s">
        <v>20</v>
      </c>
      <c r="F1138" s="143"/>
      <c r="G1138" s="143" t="s">
        <v>3134</v>
      </c>
      <c r="H1138" s="142" t="s">
        <v>199</v>
      </c>
      <c r="I1138" s="143"/>
      <c r="J1138" s="142" t="s">
        <v>3135</v>
      </c>
      <c r="K1138" s="142"/>
      <c r="L1138" s="142"/>
      <c r="M1138" s="142"/>
      <c r="N1138" s="12"/>
      <c r="O1138" s="12" t="e">
        <v>#VALUE!</v>
      </c>
      <c r="P1138" s="13" t="str">
        <f t="shared" si="18"/>
        <v/>
      </c>
      <c r="Q1138" s="158"/>
      <c r="R1138" s="142" t="s">
        <v>2371</v>
      </c>
    </row>
    <row r="1139" spans="1:18" s="139" customFormat="1" ht="28.5" customHeight="1" x14ac:dyDescent="0.15">
      <c r="A1139" s="142" t="s">
        <v>2375</v>
      </c>
      <c r="B1139" s="142">
        <v>20</v>
      </c>
      <c r="C1139" s="143" t="s">
        <v>3136</v>
      </c>
      <c r="D1139" s="143">
        <v>1959</v>
      </c>
      <c r="E1139" s="144" t="s">
        <v>20</v>
      </c>
      <c r="F1139" s="143"/>
      <c r="G1139" s="143" t="s">
        <v>3137</v>
      </c>
      <c r="H1139" s="142"/>
      <c r="I1139" s="143"/>
      <c r="J1139" s="142"/>
      <c r="K1139" s="142"/>
      <c r="L1139" s="142"/>
      <c r="M1139" s="142"/>
      <c r="N1139" s="12"/>
      <c r="O1139" s="12" t="e">
        <v>#VALUE!</v>
      </c>
      <c r="P1139" s="13" t="str">
        <f t="shared" si="18"/>
        <v/>
      </c>
      <c r="Q1139" s="158"/>
      <c r="R1139" s="142" t="s">
        <v>2936</v>
      </c>
    </row>
    <row r="1140" spans="1:18" s="139" customFormat="1" ht="36" customHeight="1" x14ac:dyDescent="0.15">
      <c r="A1140" s="142" t="s">
        <v>2375</v>
      </c>
      <c r="B1140" s="142">
        <v>20</v>
      </c>
      <c r="C1140" s="143" t="s">
        <v>3136</v>
      </c>
      <c r="D1140" s="143">
        <v>1959</v>
      </c>
      <c r="E1140" s="144" t="s">
        <v>20</v>
      </c>
      <c r="F1140" s="143"/>
      <c r="G1140" s="143" t="s">
        <v>3138</v>
      </c>
      <c r="H1140" s="142"/>
      <c r="I1140" s="143"/>
      <c r="J1140" s="142" t="s">
        <v>3139</v>
      </c>
      <c r="K1140" s="142"/>
      <c r="L1140" s="142"/>
      <c r="M1140" s="142"/>
      <c r="N1140" s="12" t="s">
        <v>2493</v>
      </c>
      <c r="O1140" s="12" t="s">
        <v>2484</v>
      </c>
      <c r="P1140" s="13" t="str">
        <f t="shared" si="18"/>
        <v>日本の歴史の中の亀山／現代の亀山／交通と通信／バス</v>
      </c>
      <c r="Q1140" s="158"/>
      <c r="R1140" s="142" t="s">
        <v>3140</v>
      </c>
    </row>
    <row r="1141" spans="1:18" s="139" customFormat="1" ht="15" customHeight="1" x14ac:dyDescent="0.15">
      <c r="A1141" s="142" t="s">
        <v>2375</v>
      </c>
      <c r="B1141" s="142">
        <v>20</v>
      </c>
      <c r="C1141" s="143" t="s">
        <v>3136</v>
      </c>
      <c r="D1141" s="143">
        <v>1959</v>
      </c>
      <c r="E1141" s="144" t="s">
        <v>20</v>
      </c>
      <c r="F1141" s="143"/>
      <c r="G1141" s="143" t="s">
        <v>3141</v>
      </c>
      <c r="H1141" s="142" t="s">
        <v>250</v>
      </c>
      <c r="I1141" s="143" t="s">
        <v>3142</v>
      </c>
      <c r="J1141" s="142" t="s">
        <v>3143</v>
      </c>
      <c r="K1141" s="142"/>
      <c r="L1141" s="142"/>
      <c r="M1141" s="142"/>
      <c r="N1141" s="12"/>
      <c r="O1141" s="12" t="e">
        <v>#VALUE!</v>
      </c>
      <c r="P1141" s="13" t="str">
        <f t="shared" si="18"/>
        <v/>
      </c>
      <c r="Q1141" s="158"/>
      <c r="R1141" s="142" t="s">
        <v>2936</v>
      </c>
    </row>
    <row r="1142" spans="1:18" s="139" customFormat="1" ht="43.5" customHeight="1" x14ac:dyDescent="0.15">
      <c r="A1142" s="142" t="s">
        <v>2375</v>
      </c>
      <c r="B1142" s="142">
        <v>20</v>
      </c>
      <c r="C1142" s="143" t="s">
        <v>3136</v>
      </c>
      <c r="D1142" s="143">
        <v>1959</v>
      </c>
      <c r="E1142" s="144" t="s">
        <v>20</v>
      </c>
      <c r="F1142" s="143"/>
      <c r="G1142" s="143" t="s">
        <v>3144</v>
      </c>
      <c r="H1142" s="142"/>
      <c r="I1142" s="143"/>
      <c r="J1142" s="142"/>
      <c r="K1142" s="142"/>
      <c r="L1142" s="142"/>
      <c r="M1142" s="142"/>
      <c r="N1142" s="12" t="s">
        <v>2884</v>
      </c>
      <c r="O1142" s="12" t="s">
        <v>2885</v>
      </c>
      <c r="P1142" s="13" t="str">
        <f t="shared" si="18"/>
        <v>日本の歴史の中の亀山／現代の亀山／産業／商業／商工会議所</v>
      </c>
      <c r="Q1142" s="158"/>
      <c r="R1142" s="142" t="s">
        <v>2936</v>
      </c>
    </row>
    <row r="1143" spans="1:18" s="139" customFormat="1" ht="43.5" customHeight="1" x14ac:dyDescent="0.15">
      <c r="A1143" s="142" t="s">
        <v>2375</v>
      </c>
      <c r="B1143" s="142">
        <v>20</v>
      </c>
      <c r="C1143" s="143" t="s">
        <v>3136</v>
      </c>
      <c r="D1143" s="143">
        <v>1959</v>
      </c>
      <c r="E1143" s="144" t="s">
        <v>20</v>
      </c>
      <c r="F1143" s="143"/>
      <c r="G1143" s="143" t="s">
        <v>3145</v>
      </c>
      <c r="H1143" s="142" t="s">
        <v>464</v>
      </c>
      <c r="I1143" s="143" t="s">
        <v>2910</v>
      </c>
      <c r="J1143" s="142" t="s">
        <v>3146</v>
      </c>
      <c r="K1143" s="142"/>
      <c r="L1143" s="142"/>
      <c r="M1143" s="142"/>
      <c r="N1143" s="12"/>
      <c r="O1143" s="12" t="e">
        <v>#VALUE!</v>
      </c>
      <c r="P1143" s="13" t="str">
        <f t="shared" si="18"/>
        <v/>
      </c>
      <c r="Q1143" s="158"/>
      <c r="R1143" s="142" t="s">
        <v>2936</v>
      </c>
    </row>
    <row r="1144" spans="1:18" s="139" customFormat="1" ht="28.15" customHeight="1" x14ac:dyDescent="0.15">
      <c r="A1144" s="142" t="s">
        <v>2375</v>
      </c>
      <c r="B1144" s="142">
        <v>20</v>
      </c>
      <c r="C1144" s="143" t="s">
        <v>3136</v>
      </c>
      <c r="D1144" s="143">
        <v>1959</v>
      </c>
      <c r="E1144" s="144" t="s">
        <v>20</v>
      </c>
      <c r="F1144" s="143"/>
      <c r="G1144" s="143" t="s">
        <v>3147</v>
      </c>
      <c r="H1144" s="142" t="s">
        <v>464</v>
      </c>
      <c r="I1144" s="143" t="s">
        <v>3148</v>
      </c>
      <c r="J1144" s="142" t="s">
        <v>3149</v>
      </c>
      <c r="K1144" s="142"/>
      <c r="L1144" s="142"/>
      <c r="M1144" s="142"/>
      <c r="N1144" s="12"/>
      <c r="O1144" s="12" t="e">
        <v>#VALUE!</v>
      </c>
      <c r="P1144" s="13" t="str">
        <f t="shared" si="18"/>
        <v/>
      </c>
      <c r="Q1144" s="158"/>
      <c r="R1144" s="142" t="s">
        <v>2936</v>
      </c>
    </row>
    <row r="1145" spans="1:18" s="139" customFormat="1" ht="43.5" customHeight="1" x14ac:dyDescent="0.15">
      <c r="A1145" s="142" t="s">
        <v>2375</v>
      </c>
      <c r="B1145" s="142">
        <v>20</v>
      </c>
      <c r="C1145" s="143" t="s">
        <v>3136</v>
      </c>
      <c r="D1145" s="143">
        <v>1959</v>
      </c>
      <c r="E1145" s="144" t="s">
        <v>20</v>
      </c>
      <c r="F1145" s="143"/>
      <c r="G1145" s="143" t="s">
        <v>3150</v>
      </c>
      <c r="H1145" s="142"/>
      <c r="I1145" s="143"/>
      <c r="J1145" s="142"/>
      <c r="K1145" s="142"/>
      <c r="L1145" s="142"/>
      <c r="M1145" s="142"/>
      <c r="N1145" s="12"/>
      <c r="O1145" s="12" t="e">
        <v>#VALUE!</v>
      </c>
      <c r="P1145" s="13" t="str">
        <f t="shared" si="18"/>
        <v/>
      </c>
      <c r="Q1145" s="158"/>
      <c r="R1145" s="142" t="s">
        <v>2936</v>
      </c>
    </row>
    <row r="1146" spans="1:18" s="139" customFormat="1" ht="115.5" customHeight="1" x14ac:dyDescent="0.15">
      <c r="A1146" s="142" t="s">
        <v>2375</v>
      </c>
      <c r="B1146" s="142">
        <v>20</v>
      </c>
      <c r="C1146" s="143" t="s">
        <v>3136</v>
      </c>
      <c r="D1146" s="143">
        <v>1959</v>
      </c>
      <c r="E1146" s="144" t="s">
        <v>20</v>
      </c>
      <c r="F1146" s="143"/>
      <c r="G1146" s="161" t="s">
        <v>3151</v>
      </c>
      <c r="H1146" s="142"/>
      <c r="I1146" s="143"/>
      <c r="J1146" s="142"/>
      <c r="K1146" s="142"/>
      <c r="L1146" s="142"/>
      <c r="M1146" s="142"/>
      <c r="N1146" s="23" t="s">
        <v>3152</v>
      </c>
      <c r="O1146" s="23" t="s">
        <v>3153</v>
      </c>
      <c r="P1146" s="24" t="str">
        <f t="shared" si="18"/>
        <v>日本の歴史の中の亀山／現代の亀山／自然災害／台風や集中豪雨による水害／1959年（昭和34）９月26日伊勢湾台風</v>
      </c>
      <c r="Q1146" s="25" t="str">
        <f>HYPERLINK("http://kameyamarekihaku.jp/sisi/RekisiHP/kingendai/saigai/saigai-showa/saigai-showa-41.html","市史近代・現代ページ　亀山の災害")</f>
        <v>市史近代・現代ページ　亀山の災害</v>
      </c>
      <c r="R1146" s="142" t="s">
        <v>3154</v>
      </c>
    </row>
    <row r="1147" spans="1:18" s="139" customFormat="1" ht="33" customHeight="1" x14ac:dyDescent="0.15">
      <c r="A1147" s="142" t="s">
        <v>2375</v>
      </c>
      <c r="B1147" s="142">
        <v>20</v>
      </c>
      <c r="C1147" s="143" t="s">
        <v>3136</v>
      </c>
      <c r="D1147" s="143">
        <v>1959</v>
      </c>
      <c r="E1147" s="144" t="s">
        <v>20</v>
      </c>
      <c r="F1147" s="143"/>
      <c r="G1147" s="143" t="s">
        <v>3155</v>
      </c>
      <c r="H1147" s="142" t="s">
        <v>846</v>
      </c>
      <c r="I1147" s="143"/>
      <c r="J1147" s="142" t="s">
        <v>3156</v>
      </c>
      <c r="K1147" s="142"/>
      <c r="L1147" s="142"/>
      <c r="M1147" s="142"/>
      <c r="N1147" s="12" t="s">
        <v>3034</v>
      </c>
      <c r="O1147" s="12" t="s">
        <v>3035</v>
      </c>
      <c r="P1147" s="13" t="str">
        <f t="shared" si="18"/>
        <v>日本の歴史の中の亀山／現代の亀山／行政と政治／水道</v>
      </c>
      <c r="Q1147" s="158"/>
      <c r="R1147" s="142" t="s">
        <v>2936</v>
      </c>
    </row>
    <row r="1148" spans="1:18" s="139" customFormat="1" ht="15" customHeight="1" x14ac:dyDescent="0.15">
      <c r="A1148" s="142" t="s">
        <v>2375</v>
      </c>
      <c r="B1148" s="142">
        <v>20</v>
      </c>
      <c r="C1148" s="143" t="s">
        <v>3136</v>
      </c>
      <c r="D1148" s="143">
        <v>1959</v>
      </c>
      <c r="E1148" s="144" t="s">
        <v>20</v>
      </c>
      <c r="F1148" s="143"/>
      <c r="G1148" s="143" t="s">
        <v>3157</v>
      </c>
      <c r="H1148" s="142"/>
      <c r="I1148" s="143"/>
      <c r="J1148" s="142"/>
      <c r="K1148" s="142"/>
      <c r="L1148" s="142"/>
      <c r="M1148" s="142"/>
      <c r="N1148" s="23"/>
      <c r="O1148" s="23" t="e">
        <v>#VALUE!</v>
      </c>
      <c r="P1148" s="24" t="str">
        <f t="shared" si="18"/>
        <v/>
      </c>
      <c r="Q1148" s="25" t="str">
        <f>HYPERLINK("http:/kameyamarekihaku.jp/sisi/tuusiHP_next/tuusi-index.html#kingendai0903","市史通史編 近代・現代第9章第3節第1項")</f>
        <v>市史通史編 近代・現代第9章第3節第1項</v>
      </c>
      <c r="R1148" s="142" t="s">
        <v>2936</v>
      </c>
    </row>
    <row r="1149" spans="1:18" s="139" customFormat="1" ht="28.5" customHeight="1" x14ac:dyDescent="0.15">
      <c r="A1149" s="142" t="s">
        <v>2375</v>
      </c>
      <c r="B1149" s="142">
        <v>20</v>
      </c>
      <c r="C1149" s="143" t="s">
        <v>3136</v>
      </c>
      <c r="D1149" s="143">
        <v>1959</v>
      </c>
      <c r="E1149" s="144" t="s">
        <v>34</v>
      </c>
      <c r="F1149" s="143"/>
      <c r="G1149" s="143" t="s">
        <v>3158</v>
      </c>
      <c r="H1149" s="142"/>
      <c r="I1149" s="143"/>
      <c r="J1149" s="142"/>
      <c r="K1149" s="142" t="s">
        <v>3159</v>
      </c>
      <c r="L1149" s="142" t="s">
        <v>3160</v>
      </c>
      <c r="M1149" s="142"/>
      <c r="N1149" s="12"/>
      <c r="O1149" s="12" t="e">
        <v>#VALUE!</v>
      </c>
      <c r="P1149" s="13" t="str">
        <f t="shared" si="18"/>
        <v/>
      </c>
      <c r="Q1149" s="158"/>
      <c r="R1149" s="142" t="s">
        <v>2936</v>
      </c>
    </row>
    <row r="1150" spans="1:18" s="139" customFormat="1" ht="15" customHeight="1" x14ac:dyDescent="0.15">
      <c r="A1150" s="142" t="s">
        <v>2375</v>
      </c>
      <c r="B1150" s="142">
        <v>20</v>
      </c>
      <c r="C1150" s="143" t="s">
        <v>3136</v>
      </c>
      <c r="D1150" s="143">
        <v>1959</v>
      </c>
      <c r="E1150" s="144" t="s">
        <v>20</v>
      </c>
      <c r="F1150" s="143"/>
      <c r="G1150" s="143" t="s">
        <v>3161</v>
      </c>
      <c r="H1150" s="142" t="s">
        <v>199</v>
      </c>
      <c r="I1150" s="143"/>
      <c r="J1150" s="142" t="s">
        <v>3162</v>
      </c>
      <c r="K1150" s="142"/>
      <c r="L1150" s="142"/>
      <c r="M1150" s="142"/>
      <c r="N1150" s="12"/>
      <c r="O1150" s="12" t="e">
        <v>#VALUE!</v>
      </c>
      <c r="P1150" s="13" t="str">
        <f t="shared" si="18"/>
        <v/>
      </c>
      <c r="Q1150" s="158"/>
      <c r="R1150" s="142" t="s">
        <v>2371</v>
      </c>
    </row>
    <row r="1151" spans="1:18" s="139" customFormat="1" ht="46.5" customHeight="1" x14ac:dyDescent="0.15">
      <c r="A1151" s="142" t="s">
        <v>2375</v>
      </c>
      <c r="B1151" s="142">
        <v>20</v>
      </c>
      <c r="C1151" s="143" t="s">
        <v>3136</v>
      </c>
      <c r="D1151" s="143">
        <v>1959</v>
      </c>
      <c r="E1151" s="144" t="s">
        <v>34</v>
      </c>
      <c r="F1151" s="143"/>
      <c r="G1151" s="143" t="s">
        <v>3163</v>
      </c>
      <c r="H1151" s="142" t="s">
        <v>199</v>
      </c>
      <c r="I1151" s="175" t="s">
        <v>2475</v>
      </c>
      <c r="J1151" s="142" t="s">
        <v>3164</v>
      </c>
      <c r="K1151" s="142"/>
      <c r="L1151" s="142"/>
      <c r="M1151" s="142"/>
      <c r="N1151" s="12" t="s">
        <v>3165</v>
      </c>
      <c r="O1151" s="12" t="s">
        <v>1975</v>
      </c>
      <c r="P1151" s="13" t="str">
        <f t="shared" si="18"/>
        <v>亀山のいいとこさがし／景色のよいところや歴史を知る手掛かりとなるもの／山／名勝</v>
      </c>
      <c r="Q1151" s="158"/>
      <c r="R1151" s="142" t="s">
        <v>2371</v>
      </c>
    </row>
    <row r="1152" spans="1:18" s="139" customFormat="1" ht="29.1" customHeight="1" x14ac:dyDescent="0.15">
      <c r="A1152" s="142" t="s">
        <v>2375</v>
      </c>
      <c r="B1152" s="142">
        <v>20</v>
      </c>
      <c r="C1152" s="143" t="s">
        <v>3136</v>
      </c>
      <c r="D1152" s="143">
        <v>1959</v>
      </c>
      <c r="E1152" s="144" t="s">
        <v>20</v>
      </c>
      <c r="F1152" s="143"/>
      <c r="G1152" s="143" t="s">
        <v>3166</v>
      </c>
      <c r="H1152" s="142" t="s">
        <v>199</v>
      </c>
      <c r="I1152" s="175" t="s">
        <v>2475</v>
      </c>
      <c r="J1152" s="142" t="s">
        <v>3167</v>
      </c>
      <c r="K1152" s="142"/>
      <c r="L1152" s="142"/>
      <c r="M1152" s="142"/>
      <c r="N1152" s="12"/>
      <c r="O1152" s="12" t="e">
        <v>#VALUE!</v>
      </c>
      <c r="P1152" s="13" t="str">
        <f t="shared" si="18"/>
        <v/>
      </c>
      <c r="Q1152" s="158"/>
      <c r="R1152" s="142" t="s">
        <v>2462</v>
      </c>
    </row>
    <row r="1153" spans="1:18" s="139" customFormat="1" ht="28.5" customHeight="1" x14ac:dyDescent="0.15">
      <c r="A1153" s="142" t="s">
        <v>2375</v>
      </c>
      <c r="B1153" s="142">
        <v>20</v>
      </c>
      <c r="C1153" s="143" t="s">
        <v>3136</v>
      </c>
      <c r="D1153" s="143">
        <v>1959</v>
      </c>
      <c r="E1153" s="144" t="s">
        <v>20</v>
      </c>
      <c r="F1153" s="143"/>
      <c r="G1153" s="143" t="s">
        <v>3168</v>
      </c>
      <c r="H1153" s="142" t="s">
        <v>199</v>
      </c>
      <c r="I1153" s="175" t="s">
        <v>2689</v>
      </c>
      <c r="J1153" s="142" t="s">
        <v>3169</v>
      </c>
      <c r="K1153" s="142"/>
      <c r="L1153" s="142"/>
      <c r="M1153" s="142"/>
      <c r="N1153" s="12"/>
      <c r="O1153" s="12" t="e">
        <v>#VALUE!</v>
      </c>
      <c r="P1153" s="13" t="str">
        <f t="shared" si="18"/>
        <v/>
      </c>
      <c r="Q1153" s="158"/>
      <c r="R1153" s="142" t="s">
        <v>2371</v>
      </c>
    </row>
    <row r="1154" spans="1:18" s="139" customFormat="1" ht="15" customHeight="1" x14ac:dyDescent="0.15">
      <c r="A1154" s="142" t="s">
        <v>2375</v>
      </c>
      <c r="B1154" s="142">
        <v>20</v>
      </c>
      <c r="C1154" s="143" t="s">
        <v>3136</v>
      </c>
      <c r="D1154" s="143">
        <v>1959</v>
      </c>
      <c r="E1154" s="144" t="s">
        <v>20</v>
      </c>
      <c r="F1154" s="143"/>
      <c r="G1154" s="143" t="s">
        <v>3170</v>
      </c>
      <c r="H1154" s="142" t="s">
        <v>199</v>
      </c>
      <c r="I1154" s="143" t="s">
        <v>3002</v>
      </c>
      <c r="J1154" s="142" t="s">
        <v>3171</v>
      </c>
      <c r="K1154" s="142"/>
      <c r="L1154" s="142"/>
      <c r="M1154" s="142"/>
      <c r="N1154" s="12"/>
      <c r="O1154" s="12" t="e">
        <v>#VALUE!</v>
      </c>
      <c r="P1154" s="13" t="str">
        <f t="shared" si="18"/>
        <v/>
      </c>
      <c r="Q1154" s="158"/>
      <c r="R1154" s="142" t="s">
        <v>2371</v>
      </c>
    </row>
    <row r="1155" spans="1:18" s="139" customFormat="1" ht="15" customHeight="1" x14ac:dyDescent="0.15">
      <c r="A1155" s="142" t="s">
        <v>2375</v>
      </c>
      <c r="B1155" s="142">
        <v>20</v>
      </c>
      <c r="C1155" s="143" t="s">
        <v>3136</v>
      </c>
      <c r="D1155" s="143">
        <v>1959</v>
      </c>
      <c r="E1155" s="144" t="s">
        <v>20</v>
      </c>
      <c r="F1155" s="143"/>
      <c r="G1155" s="143" t="s">
        <v>3172</v>
      </c>
      <c r="H1155" s="142" t="s">
        <v>199</v>
      </c>
      <c r="I1155" s="143"/>
      <c r="J1155" s="142"/>
      <c r="K1155" s="142"/>
      <c r="L1155" s="142"/>
      <c r="M1155" s="142"/>
      <c r="N1155" s="12"/>
      <c r="O1155" s="12" t="e">
        <v>#VALUE!</v>
      </c>
      <c r="P1155" s="13" t="str">
        <f t="shared" si="18"/>
        <v/>
      </c>
      <c r="Q1155" s="158"/>
      <c r="R1155" s="142" t="s">
        <v>2371</v>
      </c>
    </row>
    <row r="1156" spans="1:18" s="139" customFormat="1" ht="28.15" customHeight="1" x14ac:dyDescent="0.15">
      <c r="A1156" s="142" t="s">
        <v>2375</v>
      </c>
      <c r="B1156" s="142">
        <v>20</v>
      </c>
      <c r="C1156" s="143" t="s">
        <v>3136</v>
      </c>
      <c r="D1156" s="143">
        <v>1959</v>
      </c>
      <c r="E1156" s="144" t="s">
        <v>20</v>
      </c>
      <c r="F1156" s="143"/>
      <c r="G1156" s="143" t="s">
        <v>3173</v>
      </c>
      <c r="H1156" s="142" t="s">
        <v>199</v>
      </c>
      <c r="I1156" s="143"/>
      <c r="J1156" s="142"/>
      <c r="K1156" s="142"/>
      <c r="L1156" s="142"/>
      <c r="M1156" s="142"/>
      <c r="N1156" s="12"/>
      <c r="O1156" s="12" t="e">
        <v>#VALUE!</v>
      </c>
      <c r="P1156" s="13" t="str">
        <f t="shared" si="18"/>
        <v/>
      </c>
      <c r="Q1156" s="158"/>
      <c r="R1156" s="142" t="s">
        <v>2371</v>
      </c>
    </row>
    <row r="1157" spans="1:18" s="139" customFormat="1" ht="28.5" customHeight="1" x14ac:dyDescent="0.15">
      <c r="A1157" s="142" t="s">
        <v>2375</v>
      </c>
      <c r="B1157" s="142">
        <v>20</v>
      </c>
      <c r="C1157" s="143" t="s">
        <v>3136</v>
      </c>
      <c r="D1157" s="143">
        <v>1959</v>
      </c>
      <c r="E1157" s="144" t="s">
        <v>20</v>
      </c>
      <c r="F1157" s="143"/>
      <c r="G1157" s="143" t="s">
        <v>3174</v>
      </c>
      <c r="H1157" s="142" t="s">
        <v>1336</v>
      </c>
      <c r="I1157" s="143" t="s">
        <v>3175</v>
      </c>
      <c r="J1157" s="142" t="s">
        <v>3176</v>
      </c>
      <c r="K1157" s="142"/>
      <c r="L1157" s="142"/>
      <c r="M1157" s="142"/>
      <c r="N1157" s="12"/>
      <c r="O1157" s="12" t="e">
        <v>#VALUE!</v>
      </c>
      <c r="P1157" s="13" t="str">
        <f t="shared" ref="P1157:P1220" si="19">IFERROR(HYPERLINK(O1157,N1157),"")</f>
        <v/>
      </c>
      <c r="Q1157" s="158"/>
      <c r="R1157" s="142" t="s">
        <v>2371</v>
      </c>
    </row>
    <row r="1158" spans="1:18" s="139" customFormat="1" ht="34.5" customHeight="1" x14ac:dyDescent="0.15">
      <c r="A1158" s="142" t="s">
        <v>2375</v>
      </c>
      <c r="B1158" s="142">
        <v>20</v>
      </c>
      <c r="C1158" s="143" t="s">
        <v>3136</v>
      </c>
      <c r="D1158" s="143">
        <v>1959</v>
      </c>
      <c r="E1158" s="144" t="s">
        <v>20</v>
      </c>
      <c r="F1158" s="143"/>
      <c r="G1158" s="143" t="s">
        <v>3177</v>
      </c>
      <c r="H1158" s="142" t="s">
        <v>1336</v>
      </c>
      <c r="I1158" s="143"/>
      <c r="J1158" s="142" t="s">
        <v>3013</v>
      </c>
      <c r="K1158" s="142"/>
      <c r="L1158" s="142"/>
      <c r="M1158" s="142"/>
      <c r="N1158" s="12" t="s">
        <v>3019</v>
      </c>
      <c r="O1158" s="12" t="s">
        <v>2484</v>
      </c>
      <c r="P1158" s="13" t="str">
        <f t="shared" si="19"/>
        <v>日本の歴史の中の亀山／現代の亀山／交通と通信／バス</v>
      </c>
      <c r="Q1158" s="158"/>
      <c r="R1158" s="142" t="s">
        <v>2371</v>
      </c>
    </row>
    <row r="1159" spans="1:18" s="139" customFormat="1" ht="15" customHeight="1" x14ac:dyDescent="0.15">
      <c r="A1159" s="142" t="s">
        <v>2375</v>
      </c>
      <c r="B1159" s="142">
        <v>20</v>
      </c>
      <c r="C1159" s="143" t="s">
        <v>3136</v>
      </c>
      <c r="D1159" s="143">
        <v>1959</v>
      </c>
      <c r="E1159" s="144" t="s">
        <v>20</v>
      </c>
      <c r="F1159" s="143"/>
      <c r="G1159" s="143" t="s">
        <v>3178</v>
      </c>
      <c r="H1159" s="142" t="s">
        <v>199</v>
      </c>
      <c r="I1159" s="143" t="s">
        <v>1800</v>
      </c>
      <c r="J1159" s="142" t="s">
        <v>3179</v>
      </c>
      <c r="K1159" s="142"/>
      <c r="L1159" s="142"/>
      <c r="M1159" s="142"/>
      <c r="N1159" s="12"/>
      <c r="O1159" s="12" t="e">
        <v>#VALUE!</v>
      </c>
      <c r="P1159" s="13" t="str">
        <f t="shared" si="19"/>
        <v/>
      </c>
      <c r="Q1159" s="158"/>
      <c r="R1159" s="142" t="s">
        <v>2371</v>
      </c>
    </row>
    <row r="1160" spans="1:18" s="139" customFormat="1" ht="43.5" customHeight="1" x14ac:dyDescent="0.15">
      <c r="A1160" s="142" t="s">
        <v>2375</v>
      </c>
      <c r="B1160" s="142">
        <v>20</v>
      </c>
      <c r="C1160" s="143" t="s">
        <v>3180</v>
      </c>
      <c r="D1160" s="143">
        <v>1960</v>
      </c>
      <c r="E1160" s="144" t="s">
        <v>20</v>
      </c>
      <c r="F1160" s="143"/>
      <c r="G1160" s="143" t="s">
        <v>3181</v>
      </c>
      <c r="H1160" s="142" t="s">
        <v>3182</v>
      </c>
      <c r="I1160" s="175" t="s">
        <v>3183</v>
      </c>
      <c r="J1160" s="142" t="s">
        <v>3184</v>
      </c>
      <c r="K1160" s="142"/>
      <c r="L1160" s="142"/>
      <c r="M1160" s="142"/>
      <c r="N1160" s="23" t="s">
        <v>3185</v>
      </c>
      <c r="O1160" s="23" t="s">
        <v>2787</v>
      </c>
      <c r="P1160" s="24" t="str">
        <f t="shared" si="19"/>
        <v>学校のあゆみ／亀山中学校のれきし</v>
      </c>
      <c r="Q1160" s="25" t="str">
        <f>HYPERLINK("http:/kameyamarekihaku.jp/sisi/RekisiHP/kingendai/quiz/school/schoo01l.html","市史近代・現代ページ 学校クイズ")</f>
        <v>市史近代・現代ページ 学校クイズ</v>
      </c>
      <c r="R1160" s="142" t="s">
        <v>3186</v>
      </c>
    </row>
    <row r="1161" spans="1:18" s="139" customFormat="1" ht="28.5" customHeight="1" x14ac:dyDescent="0.15">
      <c r="A1161" s="145" t="s">
        <v>2375</v>
      </c>
      <c r="B1161" s="145">
        <v>20</v>
      </c>
      <c r="C1161" s="146" t="s">
        <v>3180</v>
      </c>
      <c r="D1161" s="146">
        <v>1960</v>
      </c>
      <c r="E1161" s="147" t="s">
        <v>20</v>
      </c>
      <c r="F1161" s="146"/>
      <c r="G1161" s="146" t="s">
        <v>3187</v>
      </c>
      <c r="H1161" s="145" t="s">
        <v>3188</v>
      </c>
      <c r="I1161" s="146" t="s">
        <v>3189</v>
      </c>
      <c r="J1161" s="145" t="s">
        <v>3190</v>
      </c>
      <c r="K1161" s="145"/>
      <c r="L1161" s="145"/>
      <c r="M1161" s="145"/>
      <c r="N1161" s="34" t="s">
        <v>3191</v>
      </c>
      <c r="O1161" s="34" t="s">
        <v>3192</v>
      </c>
      <c r="P1161" s="35" t="str">
        <f t="shared" si="19"/>
        <v>学校のあゆみ／白川小学校のれきし</v>
      </c>
      <c r="Q1161" s="160"/>
      <c r="R1161" s="145" t="s">
        <v>2936</v>
      </c>
    </row>
    <row r="1162" spans="1:18" s="139" customFormat="1" ht="28.5" customHeight="1" x14ac:dyDescent="0.15">
      <c r="A1162" s="151"/>
      <c r="B1162" s="151"/>
      <c r="C1162" s="152"/>
      <c r="D1162" s="152"/>
      <c r="E1162" s="153"/>
      <c r="F1162" s="152"/>
      <c r="G1162" s="152"/>
      <c r="H1162" s="151"/>
      <c r="I1162" s="152"/>
      <c r="J1162" s="151"/>
      <c r="K1162" s="151"/>
      <c r="L1162" s="151"/>
      <c r="M1162" s="151"/>
      <c r="N1162" s="86" t="s">
        <v>2976</v>
      </c>
      <c r="O1162" s="86" t="s">
        <v>2977</v>
      </c>
      <c r="P1162" s="87" t="str">
        <f t="shared" si="19"/>
        <v>学校のあゆみ／井田川小学校のれきし</v>
      </c>
      <c r="Q1162" s="157"/>
      <c r="R1162" s="151"/>
    </row>
    <row r="1163" spans="1:18" s="139" customFormat="1" ht="28.5" customHeight="1" x14ac:dyDescent="0.15">
      <c r="A1163" s="142" t="s">
        <v>2375</v>
      </c>
      <c r="B1163" s="142">
        <v>20</v>
      </c>
      <c r="C1163" s="143" t="s">
        <v>3180</v>
      </c>
      <c r="D1163" s="143">
        <v>1960</v>
      </c>
      <c r="E1163" s="144" t="s">
        <v>20</v>
      </c>
      <c r="F1163" s="143"/>
      <c r="G1163" s="143" t="s">
        <v>3193</v>
      </c>
      <c r="H1163" s="142" t="s">
        <v>156</v>
      </c>
      <c r="I1163" s="143" t="s">
        <v>3194</v>
      </c>
      <c r="J1163" s="142"/>
      <c r="K1163" s="142"/>
      <c r="L1163" s="142"/>
      <c r="M1163" s="142"/>
      <c r="N1163" s="12"/>
      <c r="O1163" s="12" t="e">
        <v>#VALUE!</v>
      </c>
      <c r="P1163" s="13" t="str">
        <f t="shared" si="19"/>
        <v/>
      </c>
      <c r="Q1163" s="158"/>
      <c r="R1163" s="142" t="s">
        <v>2936</v>
      </c>
    </row>
    <row r="1164" spans="1:18" s="139" customFormat="1" ht="28.5" customHeight="1" x14ac:dyDescent="0.15">
      <c r="A1164" s="142" t="s">
        <v>2375</v>
      </c>
      <c r="B1164" s="142">
        <v>20</v>
      </c>
      <c r="C1164" s="143" t="s">
        <v>3180</v>
      </c>
      <c r="D1164" s="143">
        <v>1960</v>
      </c>
      <c r="E1164" s="144" t="s">
        <v>20</v>
      </c>
      <c r="F1164" s="143"/>
      <c r="G1164" s="143" t="s">
        <v>3195</v>
      </c>
      <c r="H1164" s="142" t="s">
        <v>3196</v>
      </c>
      <c r="I1164" s="143"/>
      <c r="J1164" s="142" t="s">
        <v>3197</v>
      </c>
      <c r="K1164" s="142"/>
      <c r="L1164" s="142"/>
      <c r="M1164" s="142"/>
      <c r="N1164" s="12"/>
      <c r="O1164" s="12" t="e">
        <v>#VALUE!</v>
      </c>
      <c r="P1164" s="13" t="str">
        <f t="shared" si="19"/>
        <v/>
      </c>
      <c r="Q1164" s="158"/>
      <c r="R1164" s="142" t="s">
        <v>2936</v>
      </c>
    </row>
    <row r="1165" spans="1:18" s="139" customFormat="1" ht="15" customHeight="1" x14ac:dyDescent="0.15">
      <c r="A1165" s="142" t="s">
        <v>2375</v>
      </c>
      <c r="B1165" s="142">
        <v>20</v>
      </c>
      <c r="C1165" s="143" t="s">
        <v>3180</v>
      </c>
      <c r="D1165" s="143">
        <v>1960</v>
      </c>
      <c r="E1165" s="144" t="s">
        <v>20</v>
      </c>
      <c r="F1165" s="143"/>
      <c r="G1165" s="143" t="s">
        <v>3198</v>
      </c>
      <c r="H1165" s="142" t="s">
        <v>199</v>
      </c>
      <c r="I1165" s="143"/>
      <c r="J1165" s="142"/>
      <c r="K1165" s="142"/>
      <c r="L1165" s="142"/>
      <c r="M1165" s="142"/>
      <c r="N1165" s="12"/>
      <c r="O1165" s="12" t="e">
        <v>#VALUE!</v>
      </c>
      <c r="P1165" s="13" t="str">
        <f t="shared" si="19"/>
        <v/>
      </c>
      <c r="Q1165" s="158"/>
      <c r="R1165" s="142" t="s">
        <v>2371</v>
      </c>
    </row>
    <row r="1166" spans="1:18" s="139" customFormat="1" ht="15" customHeight="1" x14ac:dyDescent="0.15">
      <c r="A1166" s="142" t="s">
        <v>2375</v>
      </c>
      <c r="B1166" s="142">
        <v>20</v>
      </c>
      <c r="C1166" s="143" t="s">
        <v>3180</v>
      </c>
      <c r="D1166" s="143">
        <v>1960</v>
      </c>
      <c r="E1166" s="144" t="s">
        <v>20</v>
      </c>
      <c r="F1166" s="143"/>
      <c r="G1166" s="143" t="s">
        <v>3199</v>
      </c>
      <c r="H1166" s="142" t="s">
        <v>199</v>
      </c>
      <c r="I1166" s="175" t="s">
        <v>3072</v>
      </c>
      <c r="J1166" s="120" t="s">
        <v>3200</v>
      </c>
      <c r="K1166" s="142"/>
      <c r="L1166" s="142"/>
      <c r="M1166" s="142"/>
      <c r="N1166" s="12"/>
      <c r="O1166" s="12" t="e">
        <v>#VALUE!</v>
      </c>
      <c r="P1166" s="13" t="str">
        <f t="shared" si="19"/>
        <v/>
      </c>
      <c r="Q1166" s="192"/>
      <c r="R1166" s="142" t="s">
        <v>2371</v>
      </c>
    </row>
    <row r="1167" spans="1:18" s="139" customFormat="1" ht="20.25" customHeight="1" x14ac:dyDescent="0.15">
      <c r="A1167" s="145" t="s">
        <v>2375</v>
      </c>
      <c r="B1167" s="145">
        <v>20</v>
      </c>
      <c r="C1167" s="146" t="s">
        <v>3180</v>
      </c>
      <c r="D1167" s="146">
        <v>1960</v>
      </c>
      <c r="E1167" s="147" t="s">
        <v>20</v>
      </c>
      <c r="F1167" s="146"/>
      <c r="G1167" s="345" t="s">
        <v>3201</v>
      </c>
      <c r="H1167" s="145" t="s">
        <v>3202</v>
      </c>
      <c r="I1167" s="163" t="s">
        <v>3002</v>
      </c>
      <c r="J1167" s="145" t="s">
        <v>2900</v>
      </c>
      <c r="K1167" s="145"/>
      <c r="L1167" s="145"/>
      <c r="M1167" s="145"/>
      <c r="N1167" s="32" t="s">
        <v>3185</v>
      </c>
      <c r="O1167" s="32" t="s">
        <v>2787</v>
      </c>
      <c r="P1167" s="33" t="str">
        <f t="shared" si="19"/>
        <v>学校のあゆみ／亀山中学校のれきし</v>
      </c>
      <c r="Q1167" s="17" t="str">
        <f>HYPERLINK("http:/kameyamarekihaku.jp/sisi/RekisiHP/kingendai/quiz/school/schoo01l.html","市史近代・現代ページ 学校クイズ")</f>
        <v>市史近代・現代ページ 学校クイズ</v>
      </c>
      <c r="R1167" s="347" t="s">
        <v>2451</v>
      </c>
    </row>
    <row r="1168" spans="1:18" s="139" customFormat="1" ht="17.25" customHeight="1" x14ac:dyDescent="0.15">
      <c r="A1168" s="151"/>
      <c r="B1168" s="151"/>
      <c r="C1168" s="152"/>
      <c r="D1168" s="152"/>
      <c r="E1168" s="153"/>
      <c r="F1168" s="152"/>
      <c r="G1168" s="353"/>
      <c r="H1168" s="151"/>
      <c r="I1168" s="169"/>
      <c r="J1168" s="151"/>
      <c r="K1168" s="151"/>
      <c r="L1168" s="151"/>
      <c r="M1168" s="151"/>
      <c r="N1168" s="29" t="s">
        <v>2789</v>
      </c>
      <c r="O1168" s="29" t="s">
        <v>2790</v>
      </c>
      <c r="P1168" s="30" t="str">
        <f t="shared" si="19"/>
        <v>学校のあゆみ／関中学校のれきし</v>
      </c>
      <c r="Q1168" s="10"/>
      <c r="R1168" s="348"/>
    </row>
    <row r="1169" spans="1:18" s="139" customFormat="1" ht="28.15" customHeight="1" x14ac:dyDescent="0.15">
      <c r="A1169" s="142" t="s">
        <v>2375</v>
      </c>
      <c r="B1169" s="142">
        <v>20</v>
      </c>
      <c r="C1169" s="143" t="s">
        <v>3180</v>
      </c>
      <c r="D1169" s="143">
        <v>1960</v>
      </c>
      <c r="E1169" s="144" t="s">
        <v>20</v>
      </c>
      <c r="F1169" s="143"/>
      <c r="G1169" s="143" t="s">
        <v>3203</v>
      </c>
      <c r="H1169" s="142" t="s">
        <v>199</v>
      </c>
      <c r="I1169" s="143"/>
      <c r="J1169" s="142" t="s">
        <v>3204</v>
      </c>
      <c r="K1169" s="142"/>
      <c r="L1169" s="142"/>
      <c r="M1169" s="142"/>
      <c r="N1169" s="12"/>
      <c r="O1169" s="12" t="e">
        <v>#VALUE!</v>
      </c>
      <c r="P1169" s="13" t="str">
        <f t="shared" si="19"/>
        <v/>
      </c>
      <c r="Q1169" s="158"/>
      <c r="R1169" s="142" t="s">
        <v>2371</v>
      </c>
    </row>
    <row r="1170" spans="1:18" s="139" customFormat="1" ht="15" customHeight="1" x14ac:dyDescent="0.15">
      <c r="A1170" s="142" t="s">
        <v>2375</v>
      </c>
      <c r="B1170" s="142">
        <v>20</v>
      </c>
      <c r="C1170" s="143" t="s">
        <v>3180</v>
      </c>
      <c r="D1170" s="143">
        <v>1960</v>
      </c>
      <c r="E1170" s="144" t="s">
        <v>20</v>
      </c>
      <c r="F1170" s="143"/>
      <c r="G1170" s="143" t="s">
        <v>3205</v>
      </c>
      <c r="H1170" s="142" t="s">
        <v>199</v>
      </c>
      <c r="I1170" s="143"/>
      <c r="J1170" s="142"/>
      <c r="K1170" s="142"/>
      <c r="L1170" s="142"/>
      <c r="M1170" s="142"/>
      <c r="N1170" s="12"/>
      <c r="O1170" s="12" t="e">
        <v>#VALUE!</v>
      </c>
      <c r="P1170" s="13" t="str">
        <f t="shared" si="19"/>
        <v/>
      </c>
      <c r="Q1170" s="158"/>
      <c r="R1170" s="142" t="s">
        <v>2371</v>
      </c>
    </row>
    <row r="1171" spans="1:18" s="139" customFormat="1" ht="28.5" customHeight="1" x14ac:dyDescent="0.15">
      <c r="A1171" s="142" t="s">
        <v>2375</v>
      </c>
      <c r="B1171" s="142">
        <v>20</v>
      </c>
      <c r="C1171" s="143" t="s">
        <v>3180</v>
      </c>
      <c r="D1171" s="143">
        <v>1960</v>
      </c>
      <c r="E1171" s="144" t="s">
        <v>34</v>
      </c>
      <c r="F1171" s="143"/>
      <c r="G1171" s="143" t="s">
        <v>3206</v>
      </c>
      <c r="H1171" s="142" t="s">
        <v>199</v>
      </c>
      <c r="I1171" s="175" t="s">
        <v>2475</v>
      </c>
      <c r="J1171" s="142" t="s">
        <v>3207</v>
      </c>
      <c r="K1171" s="142"/>
      <c r="L1171" s="142"/>
      <c r="M1171" s="142"/>
      <c r="N1171" s="29"/>
      <c r="O1171" s="29" t="e">
        <v>#VALUE!</v>
      </c>
      <c r="P1171" s="30" t="str">
        <f t="shared" si="19"/>
        <v/>
      </c>
      <c r="Q1171" s="10" t="str">
        <f>HYPERLINK("http:/kameyamarekihaku.jp/sisi/KoukoHP/iseki.html","市史考古編遺跡一覧N0.39")</f>
        <v>市史考古編遺跡一覧N0.39</v>
      </c>
      <c r="R1171" s="142" t="s">
        <v>3208</v>
      </c>
    </row>
    <row r="1172" spans="1:18" s="139" customFormat="1" ht="28.5" customHeight="1" x14ac:dyDescent="0.15">
      <c r="A1172" s="142" t="s">
        <v>2375</v>
      </c>
      <c r="B1172" s="142">
        <v>20</v>
      </c>
      <c r="C1172" s="143" t="s">
        <v>3180</v>
      </c>
      <c r="D1172" s="143">
        <v>1960</v>
      </c>
      <c r="E1172" s="144" t="s">
        <v>20</v>
      </c>
      <c r="F1172" s="143"/>
      <c r="G1172" s="143" t="s">
        <v>3209</v>
      </c>
      <c r="H1172" s="142" t="s">
        <v>199</v>
      </c>
      <c r="I1172" s="143" t="s">
        <v>2367</v>
      </c>
      <c r="J1172" s="142" t="s">
        <v>3210</v>
      </c>
      <c r="K1172" s="142"/>
      <c r="L1172" s="142"/>
      <c r="M1172" s="142"/>
      <c r="N1172" s="12" t="s">
        <v>3211</v>
      </c>
      <c r="O1172" s="12" t="s">
        <v>3016</v>
      </c>
      <c r="P1172" s="13" t="str">
        <f t="shared" si="19"/>
        <v>学校のあゆみ／関小学校のれきし</v>
      </c>
      <c r="Q1172" s="158"/>
      <c r="R1172" s="142" t="s">
        <v>2371</v>
      </c>
    </row>
    <row r="1173" spans="1:18" s="139" customFormat="1" ht="15" customHeight="1" x14ac:dyDescent="0.15">
      <c r="A1173" s="142" t="s">
        <v>2375</v>
      </c>
      <c r="B1173" s="142">
        <v>20</v>
      </c>
      <c r="C1173" s="143" t="s">
        <v>3180</v>
      </c>
      <c r="D1173" s="143">
        <v>1960</v>
      </c>
      <c r="E1173" s="144" t="s">
        <v>20</v>
      </c>
      <c r="F1173" s="143"/>
      <c r="G1173" s="143" t="s">
        <v>3212</v>
      </c>
      <c r="H1173" s="142" t="s">
        <v>199</v>
      </c>
      <c r="I1173" s="143" t="s">
        <v>3213</v>
      </c>
      <c r="J1173" s="142" t="s">
        <v>3214</v>
      </c>
      <c r="K1173" s="142"/>
      <c r="L1173" s="142"/>
      <c r="M1173" s="142"/>
      <c r="N1173" s="12"/>
      <c r="O1173" s="12" t="e">
        <v>#VALUE!</v>
      </c>
      <c r="P1173" s="13" t="str">
        <f t="shared" si="19"/>
        <v/>
      </c>
      <c r="Q1173" s="158"/>
      <c r="R1173" s="142" t="s">
        <v>2371</v>
      </c>
    </row>
    <row r="1174" spans="1:18" s="139" customFormat="1" ht="61.5" customHeight="1" x14ac:dyDescent="0.15">
      <c r="A1174" s="142" t="s">
        <v>2375</v>
      </c>
      <c r="B1174" s="142">
        <v>20</v>
      </c>
      <c r="C1174" s="143" t="s">
        <v>3180</v>
      </c>
      <c r="D1174" s="143">
        <v>1960</v>
      </c>
      <c r="E1174" s="144" t="s">
        <v>34</v>
      </c>
      <c r="F1174" s="143"/>
      <c r="G1174" s="143" t="s">
        <v>3215</v>
      </c>
      <c r="H1174" s="142" t="s">
        <v>199</v>
      </c>
      <c r="I1174" s="143" t="s">
        <v>657</v>
      </c>
      <c r="J1174" s="142" t="s">
        <v>3216</v>
      </c>
      <c r="K1174" s="142"/>
      <c r="L1174" s="142"/>
      <c r="M1174" s="142"/>
      <c r="N1174" s="12" t="s">
        <v>3217</v>
      </c>
      <c r="O1174" s="12" t="s">
        <v>1970</v>
      </c>
      <c r="P1174" s="13" t="str">
        <f t="shared" si="19"/>
        <v>むかしの道と交通／亀山の近世の道／本陣・脇本陣</v>
      </c>
      <c r="Q1174" s="158"/>
      <c r="R1174" s="142" t="s">
        <v>2371</v>
      </c>
    </row>
    <row r="1175" spans="1:18" s="139" customFormat="1" ht="15" customHeight="1" x14ac:dyDescent="0.15">
      <c r="A1175" s="142" t="s">
        <v>2375</v>
      </c>
      <c r="B1175" s="142">
        <v>20</v>
      </c>
      <c r="C1175" s="143" t="s">
        <v>3180</v>
      </c>
      <c r="D1175" s="143">
        <v>1960</v>
      </c>
      <c r="E1175" s="144" t="s">
        <v>59</v>
      </c>
      <c r="F1175" s="143" t="s">
        <v>3218</v>
      </c>
      <c r="G1175" s="143"/>
      <c r="H1175" s="142"/>
      <c r="I1175" s="143"/>
      <c r="J1175" s="142"/>
      <c r="K1175" s="142"/>
      <c r="L1175" s="142"/>
      <c r="M1175" s="142"/>
      <c r="N1175" s="12"/>
      <c r="O1175" s="12" t="e">
        <v>#VALUE!</v>
      </c>
      <c r="P1175" s="13" t="str">
        <f t="shared" si="19"/>
        <v/>
      </c>
      <c r="Q1175" s="158"/>
      <c r="R1175" s="142"/>
    </row>
    <row r="1176" spans="1:18" s="139" customFormat="1" ht="33" customHeight="1" x14ac:dyDescent="0.15">
      <c r="A1176" s="142" t="s">
        <v>2375</v>
      </c>
      <c r="B1176" s="142">
        <v>20</v>
      </c>
      <c r="C1176" s="143" t="s">
        <v>3219</v>
      </c>
      <c r="D1176" s="143">
        <v>1961</v>
      </c>
      <c r="E1176" s="144" t="s">
        <v>20</v>
      </c>
      <c r="F1176" s="143"/>
      <c r="G1176" s="143" t="s">
        <v>3220</v>
      </c>
      <c r="H1176" s="142" t="s">
        <v>846</v>
      </c>
      <c r="I1176" s="143" t="s">
        <v>3221</v>
      </c>
      <c r="J1176" s="142" t="s">
        <v>3222</v>
      </c>
      <c r="K1176" s="142"/>
      <c r="L1176" s="142"/>
      <c r="M1176" s="142"/>
      <c r="N1176" s="12" t="s">
        <v>2992</v>
      </c>
      <c r="O1176" s="12" t="s">
        <v>2731</v>
      </c>
      <c r="P1176" s="13" t="str">
        <f t="shared" si="19"/>
        <v>日本の歴史の中の亀山／現代の亀山／教育と医療・福祉／保育園</v>
      </c>
      <c r="Q1176" s="158"/>
      <c r="R1176" s="142" t="s">
        <v>2936</v>
      </c>
    </row>
    <row r="1177" spans="1:18" s="139" customFormat="1" ht="15" customHeight="1" x14ac:dyDescent="0.15">
      <c r="A1177" s="142" t="s">
        <v>2375</v>
      </c>
      <c r="B1177" s="142">
        <v>20</v>
      </c>
      <c r="C1177" s="143" t="s">
        <v>3219</v>
      </c>
      <c r="D1177" s="143">
        <v>1961</v>
      </c>
      <c r="E1177" s="144" t="s">
        <v>20</v>
      </c>
      <c r="F1177" s="143"/>
      <c r="G1177" s="143" t="s">
        <v>3223</v>
      </c>
      <c r="H1177" s="142" t="s">
        <v>846</v>
      </c>
      <c r="I1177" s="175" t="s">
        <v>3224</v>
      </c>
      <c r="J1177" s="142" t="s">
        <v>3225</v>
      </c>
      <c r="K1177" s="142"/>
      <c r="L1177" s="142"/>
      <c r="M1177" s="142"/>
      <c r="N1177" s="12"/>
      <c r="O1177" s="12" t="e">
        <v>#VALUE!</v>
      </c>
      <c r="P1177" s="13" t="str">
        <f t="shared" si="19"/>
        <v/>
      </c>
      <c r="Q1177" s="158"/>
      <c r="R1177" s="142" t="s">
        <v>2936</v>
      </c>
    </row>
    <row r="1178" spans="1:18" s="139" customFormat="1" ht="52.35" customHeight="1" x14ac:dyDescent="0.15">
      <c r="A1178" s="142" t="s">
        <v>2375</v>
      </c>
      <c r="B1178" s="142">
        <v>20</v>
      </c>
      <c r="C1178" s="143" t="s">
        <v>3219</v>
      </c>
      <c r="D1178" s="143">
        <v>1961</v>
      </c>
      <c r="E1178" s="144" t="s">
        <v>20</v>
      </c>
      <c r="F1178" s="143"/>
      <c r="G1178" s="143" t="s">
        <v>3226</v>
      </c>
      <c r="H1178" s="142" t="s">
        <v>2131</v>
      </c>
      <c r="I1178" s="175" t="s">
        <v>3002</v>
      </c>
      <c r="J1178" s="142" t="s">
        <v>3227</v>
      </c>
      <c r="K1178" s="142"/>
      <c r="L1178" s="142"/>
      <c r="M1178" s="142"/>
      <c r="N1178" s="23" t="s">
        <v>3228</v>
      </c>
      <c r="O1178" s="23" t="s">
        <v>2787</v>
      </c>
      <c r="P1178" s="24" t="str">
        <f t="shared" si="19"/>
        <v>学校のあゆみ／亀山中学校のれきし</v>
      </c>
      <c r="Q1178" s="25" t="str">
        <f>HYPERLINK("http:/kameyamarekihaku.jp/sisi/RekisiHP/kingendai/quiz/school/schoo01l.html","市史近代・現代ページ 学校クイズ")</f>
        <v>市史近代・現代ページ 学校クイズ</v>
      </c>
      <c r="R1178" s="142" t="s">
        <v>3229</v>
      </c>
    </row>
    <row r="1179" spans="1:18" s="139" customFormat="1" ht="28.5" customHeight="1" x14ac:dyDescent="0.15">
      <c r="A1179" s="142" t="s">
        <v>2375</v>
      </c>
      <c r="B1179" s="142">
        <v>20</v>
      </c>
      <c r="C1179" s="143" t="s">
        <v>3219</v>
      </c>
      <c r="D1179" s="143">
        <v>1961</v>
      </c>
      <c r="E1179" s="144" t="s">
        <v>20</v>
      </c>
      <c r="F1179" s="143"/>
      <c r="G1179" s="143" t="s">
        <v>3230</v>
      </c>
      <c r="H1179" s="142"/>
      <c r="I1179" s="143"/>
      <c r="J1179" s="142"/>
      <c r="K1179" s="142"/>
      <c r="L1179" s="142"/>
      <c r="M1179" s="142"/>
      <c r="N1179" s="12"/>
      <c r="O1179" s="12" t="e">
        <v>#VALUE!</v>
      </c>
      <c r="P1179" s="13" t="str">
        <f t="shared" si="19"/>
        <v/>
      </c>
      <c r="Q1179" s="158"/>
      <c r="R1179" s="142" t="s">
        <v>2936</v>
      </c>
    </row>
    <row r="1180" spans="1:18" s="139" customFormat="1" ht="15" customHeight="1" x14ac:dyDescent="0.15">
      <c r="A1180" s="142" t="s">
        <v>2375</v>
      </c>
      <c r="B1180" s="142">
        <v>20</v>
      </c>
      <c r="C1180" s="143" t="s">
        <v>3219</v>
      </c>
      <c r="D1180" s="143">
        <v>1961</v>
      </c>
      <c r="E1180" s="144" t="s">
        <v>20</v>
      </c>
      <c r="F1180" s="143"/>
      <c r="G1180" s="143" t="s">
        <v>3231</v>
      </c>
      <c r="H1180" s="142" t="s">
        <v>250</v>
      </c>
      <c r="I1180" s="143" t="s">
        <v>3232</v>
      </c>
      <c r="J1180" s="142" t="s">
        <v>3233</v>
      </c>
      <c r="K1180" s="142"/>
      <c r="L1180" s="142"/>
      <c r="M1180" s="142"/>
      <c r="N1180" s="12"/>
      <c r="O1180" s="12" t="e">
        <v>#VALUE!</v>
      </c>
      <c r="P1180" s="13" t="str">
        <f t="shared" si="19"/>
        <v/>
      </c>
      <c r="Q1180" s="158"/>
      <c r="R1180" s="142" t="s">
        <v>2936</v>
      </c>
    </row>
    <row r="1181" spans="1:18" s="139" customFormat="1" ht="28.5" customHeight="1" x14ac:dyDescent="0.15">
      <c r="A1181" s="142" t="s">
        <v>2375</v>
      </c>
      <c r="B1181" s="142">
        <v>20</v>
      </c>
      <c r="C1181" s="143" t="s">
        <v>3219</v>
      </c>
      <c r="D1181" s="143">
        <v>1961</v>
      </c>
      <c r="E1181" s="144" t="s">
        <v>20</v>
      </c>
      <c r="F1181" s="143"/>
      <c r="G1181" s="143" t="s">
        <v>3234</v>
      </c>
      <c r="H1181" s="142"/>
      <c r="I1181" s="143"/>
      <c r="J1181" s="142"/>
      <c r="K1181" s="142"/>
      <c r="L1181" s="142"/>
      <c r="M1181" s="142"/>
      <c r="N1181" s="12"/>
      <c r="O1181" s="12" t="e">
        <v>#VALUE!</v>
      </c>
      <c r="P1181" s="13" t="str">
        <f t="shared" si="19"/>
        <v/>
      </c>
      <c r="Q1181" s="158"/>
      <c r="R1181" s="142" t="s">
        <v>2936</v>
      </c>
    </row>
    <row r="1182" spans="1:18" s="139" customFormat="1" ht="28.5" customHeight="1" x14ac:dyDescent="0.15">
      <c r="A1182" s="142" t="s">
        <v>2375</v>
      </c>
      <c r="B1182" s="142">
        <v>20</v>
      </c>
      <c r="C1182" s="143" t="s">
        <v>3219</v>
      </c>
      <c r="D1182" s="143">
        <v>1961</v>
      </c>
      <c r="E1182" s="144" t="s">
        <v>20</v>
      </c>
      <c r="F1182" s="143"/>
      <c r="G1182" s="143" t="s">
        <v>3235</v>
      </c>
      <c r="H1182" s="142" t="s">
        <v>464</v>
      </c>
      <c r="I1182" s="143" t="s">
        <v>3236</v>
      </c>
      <c r="J1182" s="142" t="s">
        <v>3237</v>
      </c>
      <c r="K1182" s="142"/>
      <c r="L1182" s="142"/>
      <c r="M1182" s="142"/>
      <c r="N1182" s="12"/>
      <c r="O1182" s="12" t="e">
        <v>#VALUE!</v>
      </c>
      <c r="P1182" s="13" t="str">
        <f t="shared" si="19"/>
        <v/>
      </c>
      <c r="Q1182" s="158"/>
      <c r="R1182" s="142" t="s">
        <v>2936</v>
      </c>
    </row>
    <row r="1183" spans="1:18" s="139" customFormat="1" ht="15" customHeight="1" x14ac:dyDescent="0.15">
      <c r="A1183" s="142" t="s">
        <v>2375</v>
      </c>
      <c r="B1183" s="142">
        <v>20</v>
      </c>
      <c r="C1183" s="143" t="s">
        <v>3219</v>
      </c>
      <c r="D1183" s="143">
        <v>1961</v>
      </c>
      <c r="E1183" s="144" t="s">
        <v>20</v>
      </c>
      <c r="F1183" s="143"/>
      <c r="G1183" s="143" t="s">
        <v>3238</v>
      </c>
      <c r="H1183" s="142" t="s">
        <v>2160</v>
      </c>
      <c r="I1183" s="143" t="s">
        <v>2388</v>
      </c>
      <c r="J1183" s="142" t="s">
        <v>3239</v>
      </c>
      <c r="K1183" s="142"/>
      <c r="L1183" s="142"/>
      <c r="M1183" s="142"/>
      <c r="N1183" s="12" t="s">
        <v>3240</v>
      </c>
      <c r="O1183" s="12" t="s">
        <v>2164</v>
      </c>
      <c r="P1183" s="13" t="str">
        <f t="shared" si="19"/>
        <v>学校のあゆみ／野登小学校のれきし</v>
      </c>
      <c r="Q1183" s="158"/>
      <c r="R1183" s="142" t="s">
        <v>3241</v>
      </c>
    </row>
    <row r="1184" spans="1:18" s="139" customFormat="1" ht="101.25" customHeight="1" x14ac:dyDescent="0.15">
      <c r="A1184" s="142" t="s">
        <v>2375</v>
      </c>
      <c r="B1184" s="142">
        <v>20</v>
      </c>
      <c r="C1184" s="143" t="s">
        <v>3219</v>
      </c>
      <c r="D1184" s="143">
        <v>1961</v>
      </c>
      <c r="E1184" s="144" t="s">
        <v>20</v>
      </c>
      <c r="F1184" s="143"/>
      <c r="G1184" s="161" t="s">
        <v>3242</v>
      </c>
      <c r="H1184" s="142" t="s">
        <v>464</v>
      </c>
      <c r="I1184" s="143" t="s">
        <v>2839</v>
      </c>
      <c r="J1184" s="142" t="s">
        <v>3243</v>
      </c>
      <c r="K1184" s="142"/>
      <c r="L1184" s="142"/>
      <c r="M1184" s="142"/>
      <c r="N1184" s="12"/>
      <c r="O1184" s="12" t="e">
        <v>#VALUE!</v>
      </c>
      <c r="P1184" s="13" t="str">
        <f t="shared" si="19"/>
        <v/>
      </c>
      <c r="Q1184" s="158"/>
      <c r="R1184" s="142" t="s">
        <v>2936</v>
      </c>
    </row>
    <row r="1185" spans="1:18" s="139" customFormat="1" ht="52.35" customHeight="1" x14ac:dyDescent="0.15">
      <c r="A1185" s="142" t="s">
        <v>2375</v>
      </c>
      <c r="B1185" s="142">
        <v>20</v>
      </c>
      <c r="C1185" s="143" t="s">
        <v>3219</v>
      </c>
      <c r="D1185" s="143">
        <v>1961</v>
      </c>
      <c r="E1185" s="144" t="s">
        <v>20</v>
      </c>
      <c r="F1185" s="143"/>
      <c r="G1185" s="143" t="s">
        <v>3244</v>
      </c>
      <c r="H1185" s="142"/>
      <c r="I1185" s="143"/>
      <c r="J1185" s="142"/>
      <c r="K1185" s="142"/>
      <c r="L1185" s="142"/>
      <c r="M1185" s="142"/>
      <c r="N1185" s="23"/>
      <c r="O1185" s="23" t="e">
        <v>#VALUE!</v>
      </c>
      <c r="P1185" s="24" t="str">
        <f t="shared" si="19"/>
        <v/>
      </c>
      <c r="Q1185" s="25" t="str">
        <f>HYPERLINK("http://kameyamarekihaku.jp/sisi/RekisiHP/kingendai/saigai/saigai-showa/saigai-showa-42.html","市史近代・現代ページ　亀山の災害")</f>
        <v>市史近代・現代ページ　亀山の災害</v>
      </c>
      <c r="R1185" s="142" t="s">
        <v>3245</v>
      </c>
    </row>
    <row r="1186" spans="1:18" s="139" customFormat="1" ht="28.5" customHeight="1" x14ac:dyDescent="0.15">
      <c r="A1186" s="142" t="s">
        <v>2375</v>
      </c>
      <c r="B1186" s="142">
        <v>20</v>
      </c>
      <c r="C1186" s="143" t="s">
        <v>3219</v>
      </c>
      <c r="D1186" s="143">
        <v>1961</v>
      </c>
      <c r="E1186" s="144" t="s">
        <v>20</v>
      </c>
      <c r="F1186" s="143"/>
      <c r="G1186" s="143" t="s">
        <v>3246</v>
      </c>
      <c r="H1186" s="142"/>
      <c r="I1186" s="143"/>
      <c r="J1186" s="142" t="s">
        <v>3247</v>
      </c>
      <c r="K1186" s="142"/>
      <c r="L1186" s="142"/>
      <c r="M1186" s="142"/>
      <c r="N1186" s="12"/>
      <c r="O1186" s="12" t="e">
        <v>#VALUE!</v>
      </c>
      <c r="P1186" s="13" t="str">
        <f t="shared" si="19"/>
        <v/>
      </c>
      <c r="Q1186" s="158"/>
      <c r="R1186" s="142" t="s">
        <v>2936</v>
      </c>
    </row>
    <row r="1187" spans="1:18" s="139" customFormat="1" ht="43.5" customHeight="1" x14ac:dyDescent="0.15">
      <c r="A1187" s="142" t="s">
        <v>2375</v>
      </c>
      <c r="B1187" s="142">
        <v>20</v>
      </c>
      <c r="C1187" s="143" t="s">
        <v>3219</v>
      </c>
      <c r="D1187" s="143">
        <v>1961</v>
      </c>
      <c r="E1187" s="144" t="s">
        <v>20</v>
      </c>
      <c r="F1187" s="143"/>
      <c r="G1187" s="143" t="s">
        <v>3248</v>
      </c>
      <c r="H1187" s="142"/>
      <c r="I1187" s="143"/>
      <c r="J1187" s="142"/>
      <c r="K1187" s="142"/>
      <c r="L1187" s="142"/>
      <c r="M1187" s="142"/>
      <c r="N1187" s="23"/>
      <c r="O1187" s="23" t="e">
        <v>#VALUE!</v>
      </c>
      <c r="P1187" s="24" t="str">
        <f t="shared" si="19"/>
        <v/>
      </c>
      <c r="Q1187" s="25" t="str">
        <f>HYPERLINK("http://kameyamarekihaku.jp/sisi/RekisiHP/kingendai/saigai/saigai-showa/saigai-showa-43.html","市史近代・現代ページ　亀山の災害")</f>
        <v>市史近代・現代ページ　亀山の災害</v>
      </c>
      <c r="R1187" s="142" t="s">
        <v>3249</v>
      </c>
    </row>
    <row r="1188" spans="1:18" s="139" customFormat="1" ht="28.5" customHeight="1" x14ac:dyDescent="0.15">
      <c r="A1188" s="142" t="s">
        <v>2375</v>
      </c>
      <c r="B1188" s="142">
        <v>20</v>
      </c>
      <c r="C1188" s="143" t="s">
        <v>3219</v>
      </c>
      <c r="D1188" s="143">
        <v>1961</v>
      </c>
      <c r="E1188" s="144" t="s">
        <v>20</v>
      </c>
      <c r="F1188" s="143"/>
      <c r="G1188" s="143" t="s">
        <v>3250</v>
      </c>
      <c r="H1188" s="142" t="s">
        <v>2350</v>
      </c>
      <c r="I1188" s="143" t="s">
        <v>2703</v>
      </c>
      <c r="J1188" s="142" t="s">
        <v>3251</v>
      </c>
      <c r="K1188" s="142"/>
      <c r="L1188" s="142"/>
      <c r="M1188" s="142"/>
      <c r="N1188" s="12"/>
      <c r="O1188" s="12" t="e">
        <v>#VALUE!</v>
      </c>
      <c r="P1188" s="13" t="str">
        <f t="shared" si="19"/>
        <v/>
      </c>
      <c r="Q1188" s="158"/>
      <c r="R1188" s="142" t="s">
        <v>2936</v>
      </c>
    </row>
    <row r="1189" spans="1:18" s="139" customFormat="1" ht="18" customHeight="1" x14ac:dyDescent="0.15">
      <c r="A1189" s="145" t="s">
        <v>2375</v>
      </c>
      <c r="B1189" s="145">
        <v>20</v>
      </c>
      <c r="C1189" s="146" t="s">
        <v>3219</v>
      </c>
      <c r="D1189" s="146">
        <v>1961</v>
      </c>
      <c r="E1189" s="147" t="s">
        <v>20</v>
      </c>
      <c r="F1189" s="146"/>
      <c r="G1189" s="345" t="s">
        <v>3252</v>
      </c>
      <c r="H1189" s="145" t="s">
        <v>2160</v>
      </c>
      <c r="I1189" s="163" t="s">
        <v>3253</v>
      </c>
      <c r="J1189" s="145" t="s">
        <v>3254</v>
      </c>
      <c r="K1189" s="145"/>
      <c r="L1189" s="145"/>
      <c r="M1189" s="145"/>
      <c r="N1189" s="32" t="s">
        <v>3228</v>
      </c>
      <c r="O1189" s="32" t="s">
        <v>2787</v>
      </c>
      <c r="P1189" s="33" t="str">
        <f t="shared" si="19"/>
        <v>学校のあゆみ／亀山中学校のれきし</v>
      </c>
      <c r="Q1189" s="17" t="str">
        <f>HYPERLINK("http:/kameyamarekihaku.jp/sisi/RekisiHP/kingendai/quiz/school/schoo01l.html","市史近代・現代ページ 学校クイズ")</f>
        <v>市史近代・現代ページ 学校クイズ</v>
      </c>
      <c r="R1189" s="145" t="s">
        <v>3255</v>
      </c>
    </row>
    <row r="1190" spans="1:18" s="139" customFormat="1" ht="19.5" customHeight="1" x14ac:dyDescent="0.15">
      <c r="A1190" s="151"/>
      <c r="B1190" s="151"/>
      <c r="C1190" s="152"/>
      <c r="D1190" s="152"/>
      <c r="E1190" s="153"/>
      <c r="F1190" s="152"/>
      <c r="G1190" s="353"/>
      <c r="H1190" s="151"/>
      <c r="I1190" s="169"/>
      <c r="J1190" s="151"/>
      <c r="K1190" s="151"/>
      <c r="L1190" s="151"/>
      <c r="M1190" s="151"/>
      <c r="N1190" s="29" t="s">
        <v>2797</v>
      </c>
      <c r="O1190" s="29" t="s">
        <v>2792</v>
      </c>
      <c r="P1190" s="30" t="str">
        <f t="shared" si="19"/>
        <v>学校のあゆみ／中部中学校のれきし</v>
      </c>
      <c r="Q1190" s="10"/>
      <c r="R1190" s="151"/>
    </row>
    <row r="1191" spans="1:18" s="139" customFormat="1" ht="27" customHeight="1" x14ac:dyDescent="0.15">
      <c r="A1191" s="142" t="s">
        <v>2375</v>
      </c>
      <c r="B1191" s="142">
        <v>20</v>
      </c>
      <c r="C1191" s="143" t="s">
        <v>3219</v>
      </c>
      <c r="D1191" s="143">
        <v>1961</v>
      </c>
      <c r="E1191" s="144" t="s">
        <v>20</v>
      </c>
      <c r="F1191" s="143"/>
      <c r="G1191" s="143" t="s">
        <v>3256</v>
      </c>
      <c r="H1191" s="142" t="s">
        <v>3107</v>
      </c>
      <c r="I1191" s="143"/>
      <c r="J1191" s="142"/>
      <c r="K1191" s="142"/>
      <c r="L1191" s="142"/>
      <c r="M1191" s="142"/>
      <c r="N1191" s="12"/>
      <c r="O1191" s="12" t="e">
        <v>#VALUE!</v>
      </c>
      <c r="P1191" s="13" t="str">
        <f t="shared" si="19"/>
        <v/>
      </c>
      <c r="Q1191" s="158"/>
      <c r="R1191" s="142" t="s">
        <v>2462</v>
      </c>
    </row>
    <row r="1192" spans="1:18" s="139" customFormat="1" ht="43.5" customHeight="1" x14ac:dyDescent="0.15">
      <c r="A1192" s="142" t="s">
        <v>2375</v>
      </c>
      <c r="B1192" s="142">
        <v>20</v>
      </c>
      <c r="C1192" s="143" t="s">
        <v>3219</v>
      </c>
      <c r="D1192" s="143">
        <v>1961</v>
      </c>
      <c r="E1192" s="144" t="s">
        <v>20</v>
      </c>
      <c r="F1192" s="143"/>
      <c r="G1192" s="143" t="s">
        <v>3257</v>
      </c>
      <c r="H1192" s="142" t="s">
        <v>199</v>
      </c>
      <c r="I1192" s="143"/>
      <c r="J1192" s="142"/>
      <c r="K1192" s="142"/>
      <c r="L1192" s="142"/>
      <c r="M1192" s="142"/>
      <c r="N1192" s="12"/>
      <c r="O1192" s="12" t="e">
        <v>#VALUE!</v>
      </c>
      <c r="P1192" s="13" t="str">
        <f t="shared" si="19"/>
        <v/>
      </c>
      <c r="Q1192" s="158"/>
      <c r="R1192" s="142" t="s">
        <v>2371</v>
      </c>
    </row>
    <row r="1193" spans="1:18" s="139" customFormat="1" ht="15" customHeight="1" x14ac:dyDescent="0.15">
      <c r="A1193" s="142" t="s">
        <v>2375</v>
      </c>
      <c r="B1193" s="142">
        <v>20</v>
      </c>
      <c r="C1193" s="143" t="s">
        <v>3258</v>
      </c>
      <c r="D1193" s="143">
        <v>1961</v>
      </c>
      <c r="E1193" s="144" t="s">
        <v>20</v>
      </c>
      <c r="F1193" s="143"/>
      <c r="G1193" s="143" t="s">
        <v>3259</v>
      </c>
      <c r="H1193" s="142" t="s">
        <v>1336</v>
      </c>
      <c r="I1193" s="196" t="s">
        <v>3260</v>
      </c>
      <c r="J1193" s="142" t="s">
        <v>3261</v>
      </c>
      <c r="K1193" s="142"/>
      <c r="L1193" s="142"/>
      <c r="M1193" s="142"/>
      <c r="N1193" s="12"/>
      <c r="O1193" s="12" t="e">
        <v>#VALUE!</v>
      </c>
      <c r="P1193" s="13" t="str">
        <f t="shared" si="19"/>
        <v/>
      </c>
      <c r="Q1193" s="158"/>
      <c r="R1193" s="142" t="s">
        <v>2371</v>
      </c>
    </row>
    <row r="1194" spans="1:18" s="139" customFormat="1" ht="15" customHeight="1" x14ac:dyDescent="0.15">
      <c r="A1194" s="142" t="s">
        <v>2375</v>
      </c>
      <c r="B1194" s="142">
        <v>20</v>
      </c>
      <c r="C1194" s="143" t="s">
        <v>3262</v>
      </c>
      <c r="D1194" s="143">
        <v>1961</v>
      </c>
      <c r="E1194" s="144" t="s">
        <v>20</v>
      </c>
      <c r="F1194" s="143"/>
      <c r="G1194" s="143" t="s">
        <v>3263</v>
      </c>
      <c r="H1194" s="142" t="s">
        <v>199</v>
      </c>
      <c r="I1194" s="143"/>
      <c r="J1194" s="142"/>
      <c r="K1194" s="142"/>
      <c r="L1194" s="142"/>
      <c r="M1194" s="142"/>
      <c r="N1194" s="12"/>
      <c r="O1194" s="12" t="e">
        <v>#VALUE!</v>
      </c>
      <c r="P1194" s="13" t="str">
        <f t="shared" si="19"/>
        <v/>
      </c>
      <c r="Q1194" s="158"/>
      <c r="R1194" s="142" t="s">
        <v>2371</v>
      </c>
    </row>
    <row r="1195" spans="1:18" s="139" customFormat="1" ht="28.5" customHeight="1" x14ac:dyDescent="0.15">
      <c r="A1195" s="142" t="s">
        <v>2375</v>
      </c>
      <c r="B1195" s="142">
        <v>20</v>
      </c>
      <c r="C1195" s="143" t="s">
        <v>3258</v>
      </c>
      <c r="D1195" s="143">
        <v>1961</v>
      </c>
      <c r="E1195" s="144" t="s">
        <v>20</v>
      </c>
      <c r="F1195" s="143"/>
      <c r="G1195" s="143" t="s">
        <v>3264</v>
      </c>
      <c r="H1195" s="142" t="s">
        <v>199</v>
      </c>
      <c r="I1195" s="143" t="s">
        <v>3265</v>
      </c>
      <c r="J1195" s="142" t="s">
        <v>3266</v>
      </c>
      <c r="K1195" s="142"/>
      <c r="L1195" s="142"/>
      <c r="M1195" s="142"/>
      <c r="N1195" s="12"/>
      <c r="O1195" s="12" t="e">
        <v>#VALUE!</v>
      </c>
      <c r="P1195" s="13" t="str">
        <f t="shared" si="19"/>
        <v/>
      </c>
      <c r="Q1195" s="158"/>
      <c r="R1195" s="142" t="s">
        <v>2371</v>
      </c>
    </row>
    <row r="1196" spans="1:18" s="139" customFormat="1" ht="15" customHeight="1" x14ac:dyDescent="0.15">
      <c r="A1196" s="142" t="s">
        <v>2375</v>
      </c>
      <c r="B1196" s="142">
        <v>20</v>
      </c>
      <c r="C1196" s="143" t="s">
        <v>3258</v>
      </c>
      <c r="D1196" s="143">
        <v>1961</v>
      </c>
      <c r="E1196" s="144" t="s">
        <v>20</v>
      </c>
      <c r="F1196" s="143"/>
      <c r="G1196" s="143" t="s">
        <v>3267</v>
      </c>
      <c r="H1196" s="142" t="s">
        <v>1336</v>
      </c>
      <c r="I1196" s="143" t="s">
        <v>3268</v>
      </c>
      <c r="J1196" s="142" t="s">
        <v>3269</v>
      </c>
      <c r="K1196" s="142"/>
      <c r="L1196" s="142"/>
      <c r="M1196" s="142"/>
      <c r="N1196" s="12"/>
      <c r="O1196" s="12" t="e">
        <v>#VALUE!</v>
      </c>
      <c r="P1196" s="13" t="str">
        <f t="shared" si="19"/>
        <v/>
      </c>
      <c r="Q1196" s="158"/>
      <c r="R1196" s="142" t="s">
        <v>2371</v>
      </c>
    </row>
    <row r="1197" spans="1:18" s="139" customFormat="1" ht="15" customHeight="1" x14ac:dyDescent="0.15">
      <c r="A1197" s="142" t="s">
        <v>2375</v>
      </c>
      <c r="B1197" s="142">
        <v>20</v>
      </c>
      <c r="C1197" s="143" t="s">
        <v>3262</v>
      </c>
      <c r="D1197" s="143">
        <v>1961</v>
      </c>
      <c r="E1197" s="144" t="s">
        <v>20</v>
      </c>
      <c r="F1197" s="143"/>
      <c r="G1197" s="143" t="s">
        <v>3270</v>
      </c>
      <c r="H1197" s="142" t="s">
        <v>199</v>
      </c>
      <c r="I1197" s="143"/>
      <c r="J1197" s="142"/>
      <c r="K1197" s="142"/>
      <c r="L1197" s="142"/>
      <c r="M1197" s="142"/>
      <c r="N1197" s="12"/>
      <c r="O1197" s="12" t="e">
        <v>#VALUE!</v>
      </c>
      <c r="P1197" s="13" t="str">
        <f t="shared" si="19"/>
        <v/>
      </c>
      <c r="Q1197" s="158"/>
      <c r="R1197" s="142" t="s">
        <v>2371</v>
      </c>
    </row>
    <row r="1198" spans="1:18" s="139" customFormat="1" ht="15" customHeight="1" x14ac:dyDescent="0.15">
      <c r="A1198" s="142" t="s">
        <v>2375</v>
      </c>
      <c r="B1198" s="142">
        <v>20</v>
      </c>
      <c r="C1198" s="143" t="s">
        <v>3258</v>
      </c>
      <c r="D1198" s="143">
        <v>1961</v>
      </c>
      <c r="E1198" s="144" t="s">
        <v>20</v>
      </c>
      <c r="F1198" s="143"/>
      <c r="G1198" s="143" t="s">
        <v>3271</v>
      </c>
      <c r="H1198" s="120" t="s">
        <v>199</v>
      </c>
      <c r="I1198" s="175" t="s">
        <v>2367</v>
      </c>
      <c r="J1198" s="142" t="s">
        <v>3272</v>
      </c>
      <c r="K1198" s="142"/>
      <c r="L1198" s="142"/>
      <c r="M1198" s="142"/>
      <c r="N1198" s="12"/>
      <c r="O1198" s="12" t="e">
        <v>#VALUE!</v>
      </c>
      <c r="P1198" s="13" t="str">
        <f t="shared" si="19"/>
        <v/>
      </c>
      <c r="Q1198" s="158"/>
      <c r="R1198" s="142" t="s">
        <v>2371</v>
      </c>
    </row>
    <row r="1199" spans="1:18" s="139" customFormat="1" ht="28.5" customHeight="1" x14ac:dyDescent="0.15">
      <c r="A1199" s="142" t="s">
        <v>2375</v>
      </c>
      <c r="B1199" s="142">
        <v>20</v>
      </c>
      <c r="C1199" s="143" t="s">
        <v>3273</v>
      </c>
      <c r="D1199" s="143">
        <v>1962</v>
      </c>
      <c r="E1199" s="144" t="s">
        <v>20</v>
      </c>
      <c r="F1199" s="143"/>
      <c r="G1199" s="143" t="s">
        <v>3274</v>
      </c>
      <c r="H1199" s="142" t="s">
        <v>3182</v>
      </c>
      <c r="I1199" s="143"/>
      <c r="J1199" s="142"/>
      <c r="K1199" s="142"/>
      <c r="L1199" s="142"/>
      <c r="M1199" s="142"/>
      <c r="N1199" s="12"/>
      <c r="O1199" s="12" t="e">
        <v>#VALUE!</v>
      </c>
      <c r="P1199" s="13" t="str">
        <f t="shared" si="19"/>
        <v/>
      </c>
      <c r="Q1199" s="158"/>
      <c r="R1199" s="142" t="s">
        <v>2936</v>
      </c>
    </row>
    <row r="1200" spans="1:18" s="139" customFormat="1" ht="28.5" customHeight="1" x14ac:dyDescent="0.15">
      <c r="A1200" s="142" t="s">
        <v>2375</v>
      </c>
      <c r="B1200" s="142">
        <v>20</v>
      </c>
      <c r="C1200" s="143" t="s">
        <v>3275</v>
      </c>
      <c r="D1200" s="143">
        <v>1962</v>
      </c>
      <c r="E1200" s="144" t="s">
        <v>20</v>
      </c>
      <c r="F1200" s="143"/>
      <c r="G1200" s="143" t="s">
        <v>3276</v>
      </c>
      <c r="H1200" s="142" t="s">
        <v>501</v>
      </c>
      <c r="I1200" s="175" t="s">
        <v>3253</v>
      </c>
      <c r="J1200" s="142" t="s">
        <v>3277</v>
      </c>
      <c r="K1200" s="142"/>
      <c r="L1200" s="142"/>
      <c r="M1200" s="142"/>
      <c r="N1200" s="12" t="s">
        <v>3278</v>
      </c>
      <c r="O1200" s="12" t="s">
        <v>2792</v>
      </c>
      <c r="P1200" s="13" t="str">
        <f t="shared" si="19"/>
        <v>学校のあゆみ／中部中学校のれきし</v>
      </c>
      <c r="Q1200" s="158"/>
      <c r="R1200" s="142" t="s">
        <v>3279</v>
      </c>
    </row>
    <row r="1201" spans="1:18" s="139" customFormat="1" ht="28.5" customHeight="1" x14ac:dyDescent="0.15">
      <c r="A1201" s="142" t="s">
        <v>2375</v>
      </c>
      <c r="B1201" s="142">
        <v>20</v>
      </c>
      <c r="C1201" s="143" t="s">
        <v>3275</v>
      </c>
      <c r="D1201" s="143">
        <v>1962</v>
      </c>
      <c r="E1201" s="144" t="s">
        <v>20</v>
      </c>
      <c r="F1201" s="143"/>
      <c r="G1201" s="143" t="s">
        <v>3280</v>
      </c>
      <c r="H1201" s="142" t="s">
        <v>3182</v>
      </c>
      <c r="I1201" s="175" t="s">
        <v>3183</v>
      </c>
      <c r="J1201" s="142" t="s">
        <v>3281</v>
      </c>
      <c r="K1201" s="142"/>
      <c r="L1201" s="142"/>
      <c r="M1201" s="142"/>
      <c r="N1201" s="23" t="s">
        <v>3185</v>
      </c>
      <c r="O1201" s="23" t="s">
        <v>2787</v>
      </c>
      <c r="P1201" s="24" t="str">
        <f t="shared" si="19"/>
        <v>学校のあゆみ／亀山中学校のれきし</v>
      </c>
      <c r="Q1201" s="25" t="str">
        <f>HYPERLINK("http:/kameyamarekihaku.jp/sisi/RekisiHP/kingendai/quiz/school/schoo01l.html","市史近代・現代ページ 学校クイズ")</f>
        <v>市史近代・現代ページ 学校クイズ</v>
      </c>
      <c r="R1201" s="142" t="s">
        <v>3282</v>
      </c>
    </row>
    <row r="1202" spans="1:18" s="139" customFormat="1" ht="28.5" customHeight="1" x14ac:dyDescent="0.15">
      <c r="A1202" s="142" t="s">
        <v>2375</v>
      </c>
      <c r="B1202" s="142">
        <v>20</v>
      </c>
      <c r="C1202" s="143" t="s">
        <v>3275</v>
      </c>
      <c r="D1202" s="143">
        <v>1962</v>
      </c>
      <c r="E1202" s="144" t="s">
        <v>20</v>
      </c>
      <c r="F1202" s="143"/>
      <c r="G1202" s="143" t="s">
        <v>3283</v>
      </c>
      <c r="H1202" s="142" t="s">
        <v>464</v>
      </c>
      <c r="I1202" s="143" t="s">
        <v>2839</v>
      </c>
      <c r="J1202" s="142" t="s">
        <v>3284</v>
      </c>
      <c r="K1202" s="142"/>
      <c r="L1202" s="142"/>
      <c r="M1202" s="142"/>
      <c r="N1202" s="12" t="s">
        <v>3285</v>
      </c>
      <c r="O1202" s="12" t="s">
        <v>2731</v>
      </c>
      <c r="P1202" s="13" t="str">
        <f t="shared" si="19"/>
        <v>日本の歴史の中の亀山／現代の亀山／教育と医療・福祉／保育園</v>
      </c>
      <c r="Q1202" s="158"/>
      <c r="R1202" s="142" t="s">
        <v>3286</v>
      </c>
    </row>
    <row r="1203" spans="1:18" s="139" customFormat="1" ht="15" customHeight="1" x14ac:dyDescent="0.15">
      <c r="A1203" s="142" t="s">
        <v>2375</v>
      </c>
      <c r="B1203" s="142">
        <v>20</v>
      </c>
      <c r="C1203" s="143" t="s">
        <v>3275</v>
      </c>
      <c r="D1203" s="143">
        <v>1962</v>
      </c>
      <c r="E1203" s="144" t="s">
        <v>20</v>
      </c>
      <c r="F1203" s="143"/>
      <c r="G1203" s="143" t="s">
        <v>3287</v>
      </c>
      <c r="H1203" s="142" t="s">
        <v>250</v>
      </c>
      <c r="I1203" s="143" t="s">
        <v>3288</v>
      </c>
      <c r="J1203" s="142" t="s">
        <v>3289</v>
      </c>
      <c r="K1203" s="142"/>
      <c r="L1203" s="142"/>
      <c r="M1203" s="142"/>
      <c r="N1203" s="12"/>
      <c r="O1203" s="12" t="e">
        <v>#VALUE!</v>
      </c>
      <c r="P1203" s="13" t="str">
        <f t="shared" si="19"/>
        <v/>
      </c>
      <c r="Q1203" s="158"/>
      <c r="R1203" s="142" t="s">
        <v>2936</v>
      </c>
    </row>
    <row r="1204" spans="1:18" s="139" customFormat="1" ht="15" customHeight="1" x14ac:dyDescent="0.15">
      <c r="A1204" s="142" t="s">
        <v>2375</v>
      </c>
      <c r="B1204" s="142">
        <v>20</v>
      </c>
      <c r="C1204" s="143" t="s">
        <v>3275</v>
      </c>
      <c r="D1204" s="143">
        <v>1962</v>
      </c>
      <c r="E1204" s="144" t="s">
        <v>20</v>
      </c>
      <c r="F1204" s="143"/>
      <c r="G1204" s="143" t="s">
        <v>3290</v>
      </c>
      <c r="H1204" s="142"/>
      <c r="I1204" s="143"/>
      <c r="J1204" s="142"/>
      <c r="K1204" s="142"/>
      <c r="L1204" s="142"/>
      <c r="M1204" s="142"/>
      <c r="N1204" s="12"/>
      <c r="O1204" s="12" t="e">
        <v>#VALUE!</v>
      </c>
      <c r="P1204" s="13" t="str">
        <f t="shared" si="19"/>
        <v/>
      </c>
      <c r="Q1204" s="158"/>
      <c r="R1204" s="142" t="s">
        <v>2936</v>
      </c>
    </row>
    <row r="1205" spans="1:18" s="139" customFormat="1" ht="33" customHeight="1" x14ac:dyDescent="0.15">
      <c r="A1205" s="142" t="s">
        <v>2375</v>
      </c>
      <c r="B1205" s="142">
        <v>20</v>
      </c>
      <c r="C1205" s="143" t="s">
        <v>3275</v>
      </c>
      <c r="D1205" s="143">
        <v>1962</v>
      </c>
      <c r="E1205" s="144" t="s">
        <v>20</v>
      </c>
      <c r="F1205" s="143"/>
      <c r="G1205" s="143" t="s">
        <v>3291</v>
      </c>
      <c r="H1205" s="142" t="s">
        <v>156</v>
      </c>
      <c r="I1205" s="143"/>
      <c r="J1205" s="142" t="s">
        <v>3292</v>
      </c>
      <c r="K1205" s="142"/>
      <c r="L1205" s="142"/>
      <c r="M1205" s="142"/>
      <c r="N1205" s="12" t="s">
        <v>3034</v>
      </c>
      <c r="O1205" s="12" t="s">
        <v>3035</v>
      </c>
      <c r="P1205" s="13" t="str">
        <f t="shared" si="19"/>
        <v>日本の歴史の中の亀山／現代の亀山／行政と政治／水道</v>
      </c>
      <c r="Q1205" s="158"/>
      <c r="R1205" s="142" t="s">
        <v>2936</v>
      </c>
    </row>
    <row r="1206" spans="1:18" s="139" customFormat="1" ht="15" customHeight="1" x14ac:dyDescent="0.15">
      <c r="A1206" s="142" t="s">
        <v>2375</v>
      </c>
      <c r="B1206" s="142">
        <v>20</v>
      </c>
      <c r="C1206" s="143" t="s">
        <v>3275</v>
      </c>
      <c r="D1206" s="143">
        <v>1962</v>
      </c>
      <c r="E1206" s="144" t="s">
        <v>20</v>
      </c>
      <c r="F1206" s="143"/>
      <c r="G1206" s="143" t="s">
        <v>3293</v>
      </c>
      <c r="H1206" s="142"/>
      <c r="I1206" s="143"/>
      <c r="J1206" s="142"/>
      <c r="K1206" s="142"/>
      <c r="L1206" s="142"/>
      <c r="M1206" s="142"/>
      <c r="N1206" s="12"/>
      <c r="O1206" s="12" t="e">
        <v>#VALUE!</v>
      </c>
      <c r="P1206" s="13" t="str">
        <f t="shared" si="19"/>
        <v/>
      </c>
      <c r="Q1206" s="158"/>
      <c r="R1206" s="142" t="s">
        <v>2936</v>
      </c>
    </row>
    <row r="1207" spans="1:18" s="139" customFormat="1" ht="28.5" customHeight="1" x14ac:dyDescent="0.15">
      <c r="A1207" s="142" t="s">
        <v>2375</v>
      </c>
      <c r="B1207" s="142">
        <v>20</v>
      </c>
      <c r="C1207" s="143" t="s">
        <v>3275</v>
      </c>
      <c r="D1207" s="143">
        <v>1962</v>
      </c>
      <c r="E1207" s="144" t="s">
        <v>20</v>
      </c>
      <c r="F1207" s="143"/>
      <c r="G1207" s="143" t="s">
        <v>3294</v>
      </c>
      <c r="H1207" s="142" t="s">
        <v>1336</v>
      </c>
      <c r="I1207" s="143" t="s">
        <v>3295</v>
      </c>
      <c r="J1207" s="142" t="s">
        <v>3296</v>
      </c>
      <c r="K1207" s="142"/>
      <c r="L1207" s="142"/>
      <c r="M1207" s="142"/>
      <c r="N1207" s="12" t="s">
        <v>2786</v>
      </c>
      <c r="O1207" s="12" t="s">
        <v>2787</v>
      </c>
      <c r="P1207" s="13" t="str">
        <f t="shared" si="19"/>
        <v>学校のあゆみ／亀山中学校のれきし</v>
      </c>
      <c r="Q1207" s="158"/>
      <c r="R1207" s="142" t="s">
        <v>2371</v>
      </c>
    </row>
    <row r="1208" spans="1:18" s="139" customFormat="1" ht="43.5" customHeight="1" x14ac:dyDescent="0.15">
      <c r="A1208" s="142" t="s">
        <v>2375</v>
      </c>
      <c r="B1208" s="142">
        <v>20</v>
      </c>
      <c r="C1208" s="143" t="s">
        <v>3297</v>
      </c>
      <c r="D1208" s="143">
        <v>1962</v>
      </c>
      <c r="E1208" s="144" t="s">
        <v>20</v>
      </c>
      <c r="F1208" s="143"/>
      <c r="G1208" s="161" t="s">
        <v>3298</v>
      </c>
      <c r="H1208" s="142" t="s">
        <v>3107</v>
      </c>
      <c r="I1208" s="143"/>
      <c r="J1208" s="142"/>
      <c r="K1208" s="142"/>
      <c r="L1208" s="142"/>
      <c r="M1208" s="142"/>
      <c r="N1208" s="12"/>
      <c r="O1208" s="12" t="e">
        <v>#VALUE!</v>
      </c>
      <c r="P1208" s="13" t="str">
        <f t="shared" si="19"/>
        <v/>
      </c>
      <c r="Q1208" s="158"/>
      <c r="R1208" s="142" t="s">
        <v>2371</v>
      </c>
    </row>
    <row r="1209" spans="1:18" s="139" customFormat="1" ht="15" customHeight="1" x14ac:dyDescent="0.15">
      <c r="A1209" s="142" t="s">
        <v>2375</v>
      </c>
      <c r="B1209" s="142">
        <v>20</v>
      </c>
      <c r="C1209" s="143" t="s">
        <v>3297</v>
      </c>
      <c r="D1209" s="143">
        <v>1962</v>
      </c>
      <c r="E1209" s="144" t="s">
        <v>20</v>
      </c>
      <c r="F1209" s="143"/>
      <c r="G1209" s="143" t="s">
        <v>3299</v>
      </c>
      <c r="H1209" s="142" t="s">
        <v>3107</v>
      </c>
      <c r="I1209" s="143"/>
      <c r="J1209" s="142"/>
      <c r="K1209" s="142"/>
      <c r="L1209" s="142"/>
      <c r="M1209" s="142"/>
      <c r="N1209" s="12"/>
      <c r="O1209" s="12" t="e">
        <v>#VALUE!</v>
      </c>
      <c r="P1209" s="13" t="str">
        <f t="shared" si="19"/>
        <v/>
      </c>
      <c r="Q1209" s="158"/>
      <c r="R1209" s="142" t="s">
        <v>2371</v>
      </c>
    </row>
    <row r="1210" spans="1:18" s="139" customFormat="1" ht="29.1" customHeight="1" x14ac:dyDescent="0.15">
      <c r="A1210" s="142" t="s">
        <v>2375</v>
      </c>
      <c r="B1210" s="142">
        <v>20</v>
      </c>
      <c r="C1210" s="143" t="s">
        <v>3297</v>
      </c>
      <c r="D1210" s="143">
        <v>1962</v>
      </c>
      <c r="E1210" s="144" t="s">
        <v>20</v>
      </c>
      <c r="F1210" s="143"/>
      <c r="G1210" s="143" t="s">
        <v>3300</v>
      </c>
      <c r="H1210" s="142" t="s">
        <v>3107</v>
      </c>
      <c r="I1210" s="143"/>
      <c r="J1210" s="142"/>
      <c r="K1210" s="142"/>
      <c r="L1210" s="142"/>
      <c r="M1210" s="142"/>
      <c r="N1210" s="12"/>
      <c r="O1210" s="12" t="e">
        <v>#VALUE!</v>
      </c>
      <c r="P1210" s="13" t="str">
        <f t="shared" si="19"/>
        <v/>
      </c>
      <c r="Q1210" s="158"/>
      <c r="R1210" s="142" t="s">
        <v>2462</v>
      </c>
    </row>
    <row r="1211" spans="1:18" s="139" customFormat="1" ht="15" customHeight="1" x14ac:dyDescent="0.15">
      <c r="A1211" s="142" t="s">
        <v>2375</v>
      </c>
      <c r="B1211" s="142">
        <v>20</v>
      </c>
      <c r="C1211" s="143" t="s">
        <v>3297</v>
      </c>
      <c r="D1211" s="143">
        <v>1962</v>
      </c>
      <c r="E1211" s="144" t="s">
        <v>20</v>
      </c>
      <c r="F1211" s="143"/>
      <c r="G1211" s="143" t="s">
        <v>3301</v>
      </c>
      <c r="H1211" s="142" t="s">
        <v>3107</v>
      </c>
      <c r="I1211" s="143"/>
      <c r="J1211" s="142"/>
      <c r="K1211" s="142"/>
      <c r="L1211" s="142"/>
      <c r="M1211" s="142"/>
      <c r="N1211" s="12"/>
      <c r="O1211" s="12" t="e">
        <v>#VALUE!</v>
      </c>
      <c r="P1211" s="13" t="str">
        <f t="shared" si="19"/>
        <v/>
      </c>
      <c r="Q1211" s="158"/>
      <c r="R1211" s="142" t="s">
        <v>2371</v>
      </c>
    </row>
    <row r="1212" spans="1:18" s="139" customFormat="1" ht="15" customHeight="1" x14ac:dyDescent="0.15">
      <c r="A1212" s="142" t="s">
        <v>2375</v>
      </c>
      <c r="B1212" s="142">
        <v>20</v>
      </c>
      <c r="C1212" s="143" t="s">
        <v>3297</v>
      </c>
      <c r="D1212" s="143">
        <v>1962</v>
      </c>
      <c r="E1212" s="144" t="s">
        <v>20</v>
      </c>
      <c r="F1212" s="143"/>
      <c r="G1212" s="143" t="s">
        <v>3302</v>
      </c>
      <c r="H1212" s="142" t="s">
        <v>1336</v>
      </c>
      <c r="I1212" s="143" t="s">
        <v>787</v>
      </c>
      <c r="J1212" s="142" t="s">
        <v>3303</v>
      </c>
      <c r="K1212" s="142"/>
      <c r="L1212" s="142"/>
      <c r="M1212" s="142"/>
      <c r="N1212" s="12"/>
      <c r="O1212" s="12" t="e">
        <v>#VALUE!</v>
      </c>
      <c r="P1212" s="13" t="str">
        <f t="shared" si="19"/>
        <v/>
      </c>
      <c r="Q1212" s="158"/>
      <c r="R1212" s="142" t="s">
        <v>2371</v>
      </c>
    </row>
    <row r="1213" spans="1:18" s="139" customFormat="1" ht="43.5" customHeight="1" x14ac:dyDescent="0.15">
      <c r="A1213" s="142" t="s">
        <v>2375</v>
      </c>
      <c r="B1213" s="142">
        <v>20</v>
      </c>
      <c r="C1213" s="143" t="s">
        <v>3297</v>
      </c>
      <c r="D1213" s="143">
        <v>1962</v>
      </c>
      <c r="E1213" s="144" t="s">
        <v>20</v>
      </c>
      <c r="F1213" s="143"/>
      <c r="G1213" s="143" t="s">
        <v>3304</v>
      </c>
      <c r="H1213" s="142" t="s">
        <v>1336</v>
      </c>
      <c r="I1213" s="143" t="s">
        <v>3295</v>
      </c>
      <c r="J1213" s="142" t="s">
        <v>3296</v>
      </c>
      <c r="K1213" s="142"/>
      <c r="L1213" s="142"/>
      <c r="M1213" s="142"/>
      <c r="N1213" s="12" t="s">
        <v>2786</v>
      </c>
      <c r="O1213" s="12" t="s">
        <v>2787</v>
      </c>
      <c r="P1213" s="13" t="str">
        <f t="shared" si="19"/>
        <v>学校のあゆみ／亀山中学校のれきし</v>
      </c>
      <c r="Q1213" s="158"/>
      <c r="R1213" s="142" t="s">
        <v>2371</v>
      </c>
    </row>
    <row r="1214" spans="1:18" s="139" customFormat="1" ht="15" customHeight="1" x14ac:dyDescent="0.15">
      <c r="A1214" s="142" t="s">
        <v>2375</v>
      </c>
      <c r="B1214" s="142">
        <v>20</v>
      </c>
      <c r="C1214" s="143" t="s">
        <v>3297</v>
      </c>
      <c r="D1214" s="143">
        <v>1962</v>
      </c>
      <c r="E1214" s="144" t="s">
        <v>20</v>
      </c>
      <c r="F1214" s="143"/>
      <c r="G1214" s="143" t="s">
        <v>3305</v>
      </c>
      <c r="H1214" s="120" t="s">
        <v>199</v>
      </c>
      <c r="I1214" s="175" t="s">
        <v>2367</v>
      </c>
      <c r="J1214" s="142" t="s">
        <v>3306</v>
      </c>
      <c r="K1214" s="142"/>
      <c r="L1214" s="142"/>
      <c r="M1214" s="142"/>
      <c r="N1214" s="12"/>
      <c r="O1214" s="12" t="e">
        <v>#VALUE!</v>
      </c>
      <c r="P1214" s="13" t="str">
        <f t="shared" si="19"/>
        <v/>
      </c>
      <c r="Q1214" s="158"/>
      <c r="R1214" s="142" t="s">
        <v>2371</v>
      </c>
    </row>
    <row r="1215" spans="1:18" s="139" customFormat="1" ht="28.5" customHeight="1" x14ac:dyDescent="0.15">
      <c r="A1215" s="142" t="s">
        <v>2375</v>
      </c>
      <c r="B1215" s="142">
        <v>20</v>
      </c>
      <c r="C1215" s="143" t="s">
        <v>3275</v>
      </c>
      <c r="D1215" s="143">
        <v>1962</v>
      </c>
      <c r="E1215" s="144" t="s">
        <v>20</v>
      </c>
      <c r="F1215" s="143"/>
      <c r="G1215" s="143" t="s">
        <v>3307</v>
      </c>
      <c r="H1215" s="142" t="s">
        <v>199</v>
      </c>
      <c r="I1215" s="143" t="s">
        <v>3308</v>
      </c>
      <c r="J1215" s="142" t="s">
        <v>3309</v>
      </c>
      <c r="K1215" s="142"/>
      <c r="L1215" s="142"/>
      <c r="M1215" s="142"/>
      <c r="N1215" s="12"/>
      <c r="O1215" s="12" t="e">
        <v>#VALUE!</v>
      </c>
      <c r="P1215" s="13" t="str">
        <f t="shared" si="19"/>
        <v/>
      </c>
      <c r="Q1215" s="158"/>
      <c r="R1215" s="142" t="s">
        <v>2371</v>
      </c>
    </row>
    <row r="1216" spans="1:18" s="139" customFormat="1" ht="15" customHeight="1" x14ac:dyDescent="0.15">
      <c r="A1216" s="142" t="s">
        <v>2375</v>
      </c>
      <c r="B1216" s="142">
        <v>20</v>
      </c>
      <c r="C1216" s="143" t="s">
        <v>3275</v>
      </c>
      <c r="D1216" s="143">
        <v>1962</v>
      </c>
      <c r="E1216" s="144" t="s">
        <v>20</v>
      </c>
      <c r="F1216" s="143"/>
      <c r="G1216" s="143" t="s">
        <v>3310</v>
      </c>
      <c r="H1216" s="142" t="s">
        <v>199</v>
      </c>
      <c r="I1216" s="175" t="s">
        <v>2475</v>
      </c>
      <c r="J1216" s="120" t="s">
        <v>3311</v>
      </c>
      <c r="K1216" s="142"/>
      <c r="L1216" s="142"/>
      <c r="M1216" s="142"/>
      <c r="N1216" s="12"/>
      <c r="O1216" s="12" t="e">
        <v>#VALUE!</v>
      </c>
      <c r="P1216" s="13" t="str">
        <f t="shared" si="19"/>
        <v/>
      </c>
      <c r="Q1216" s="192"/>
      <c r="R1216" s="142" t="s">
        <v>2371</v>
      </c>
    </row>
    <row r="1217" spans="1:18" s="139" customFormat="1" ht="15" customHeight="1" x14ac:dyDescent="0.15">
      <c r="A1217" s="142" t="s">
        <v>2375</v>
      </c>
      <c r="B1217" s="142">
        <v>20</v>
      </c>
      <c r="C1217" s="143" t="s">
        <v>3275</v>
      </c>
      <c r="D1217" s="143">
        <v>1962</v>
      </c>
      <c r="E1217" s="144" t="s">
        <v>20</v>
      </c>
      <c r="F1217" s="143"/>
      <c r="G1217" s="143" t="s">
        <v>3312</v>
      </c>
      <c r="H1217" s="142" t="s">
        <v>199</v>
      </c>
      <c r="I1217" s="175"/>
      <c r="J1217" s="120" t="s">
        <v>3313</v>
      </c>
      <c r="K1217" s="142"/>
      <c r="L1217" s="142"/>
      <c r="M1217" s="142"/>
      <c r="N1217" s="12"/>
      <c r="O1217" s="12" t="e">
        <v>#VALUE!</v>
      </c>
      <c r="P1217" s="13" t="str">
        <f t="shared" si="19"/>
        <v/>
      </c>
      <c r="Q1217" s="192"/>
      <c r="R1217" s="142" t="s">
        <v>2371</v>
      </c>
    </row>
    <row r="1218" spans="1:18" s="139" customFormat="1" ht="15" customHeight="1" x14ac:dyDescent="0.15">
      <c r="A1218" s="142" t="s">
        <v>2375</v>
      </c>
      <c r="B1218" s="142">
        <v>20</v>
      </c>
      <c r="C1218" s="143" t="s">
        <v>3275</v>
      </c>
      <c r="D1218" s="143">
        <v>1962</v>
      </c>
      <c r="E1218" s="144" t="s">
        <v>20</v>
      </c>
      <c r="F1218" s="143"/>
      <c r="G1218" s="143" t="s">
        <v>3314</v>
      </c>
      <c r="H1218" s="142" t="s">
        <v>1336</v>
      </c>
      <c r="I1218" s="175" t="s">
        <v>3315</v>
      </c>
      <c r="J1218" s="120" t="s">
        <v>3316</v>
      </c>
      <c r="K1218" s="142"/>
      <c r="L1218" s="142"/>
      <c r="M1218" s="142"/>
      <c r="N1218" s="12"/>
      <c r="O1218" s="12" t="e">
        <v>#VALUE!</v>
      </c>
      <c r="P1218" s="13" t="str">
        <f t="shared" si="19"/>
        <v/>
      </c>
      <c r="Q1218" s="192"/>
      <c r="R1218" s="142" t="s">
        <v>2371</v>
      </c>
    </row>
    <row r="1219" spans="1:18" s="139" customFormat="1" ht="28.5" customHeight="1" x14ac:dyDescent="0.15">
      <c r="A1219" s="142" t="s">
        <v>2375</v>
      </c>
      <c r="B1219" s="142">
        <v>20</v>
      </c>
      <c r="C1219" s="143" t="s">
        <v>3297</v>
      </c>
      <c r="D1219" s="143">
        <v>1962</v>
      </c>
      <c r="E1219" s="144" t="s">
        <v>20</v>
      </c>
      <c r="F1219" s="143"/>
      <c r="G1219" s="143" t="s">
        <v>3317</v>
      </c>
      <c r="H1219" s="142" t="s">
        <v>3107</v>
      </c>
      <c r="I1219" s="143"/>
      <c r="J1219" s="142"/>
      <c r="K1219" s="142"/>
      <c r="L1219" s="142"/>
      <c r="M1219" s="142"/>
      <c r="N1219" s="12"/>
      <c r="O1219" s="12" t="e">
        <v>#VALUE!</v>
      </c>
      <c r="P1219" s="13" t="str">
        <f t="shared" si="19"/>
        <v/>
      </c>
      <c r="Q1219" s="158"/>
      <c r="R1219" s="142" t="s">
        <v>2371</v>
      </c>
    </row>
    <row r="1220" spans="1:18" s="139" customFormat="1" ht="15" customHeight="1" x14ac:dyDescent="0.15">
      <c r="A1220" s="142" t="s">
        <v>2375</v>
      </c>
      <c r="B1220" s="142">
        <v>20</v>
      </c>
      <c r="C1220" s="143" t="s">
        <v>3318</v>
      </c>
      <c r="D1220" s="143">
        <v>1963</v>
      </c>
      <c r="E1220" s="144" t="s">
        <v>59</v>
      </c>
      <c r="F1220" s="143" t="s">
        <v>3319</v>
      </c>
      <c r="G1220" s="143"/>
      <c r="H1220" s="142"/>
      <c r="I1220" s="143"/>
      <c r="J1220" s="142"/>
      <c r="K1220" s="142"/>
      <c r="L1220" s="142"/>
      <c r="M1220" s="142"/>
      <c r="N1220" s="12"/>
      <c r="O1220" s="12" t="e">
        <v>#VALUE!</v>
      </c>
      <c r="P1220" s="13" t="str">
        <f t="shared" si="19"/>
        <v/>
      </c>
      <c r="Q1220" s="158"/>
      <c r="R1220" s="142"/>
    </row>
    <row r="1221" spans="1:18" s="139" customFormat="1" ht="15" customHeight="1" x14ac:dyDescent="0.15">
      <c r="A1221" s="142" t="s">
        <v>2375</v>
      </c>
      <c r="B1221" s="142">
        <v>20</v>
      </c>
      <c r="C1221" s="143" t="s">
        <v>3318</v>
      </c>
      <c r="D1221" s="143">
        <v>1963</v>
      </c>
      <c r="E1221" s="144" t="s">
        <v>20</v>
      </c>
      <c r="F1221" s="143"/>
      <c r="G1221" s="143" t="s">
        <v>3320</v>
      </c>
      <c r="H1221" s="142" t="s">
        <v>3321</v>
      </c>
      <c r="I1221" s="143" t="s">
        <v>3322</v>
      </c>
      <c r="J1221" s="142" t="s">
        <v>3323</v>
      </c>
      <c r="K1221" s="142"/>
      <c r="L1221" s="142"/>
      <c r="M1221" s="142"/>
      <c r="N1221" s="12"/>
      <c r="O1221" s="12" t="e">
        <v>#VALUE!</v>
      </c>
      <c r="P1221" s="13" t="str">
        <f t="shared" ref="P1221:P1284" si="20">IFERROR(HYPERLINK(O1221,N1221),"")</f>
        <v/>
      </c>
      <c r="Q1221" s="158"/>
      <c r="R1221" s="142" t="s">
        <v>3324</v>
      </c>
    </row>
    <row r="1222" spans="1:18" s="139" customFormat="1" ht="43.5" customHeight="1" x14ac:dyDescent="0.15">
      <c r="A1222" s="142" t="s">
        <v>2375</v>
      </c>
      <c r="B1222" s="142">
        <v>20</v>
      </c>
      <c r="C1222" s="143" t="s">
        <v>3318</v>
      </c>
      <c r="D1222" s="143">
        <v>1963</v>
      </c>
      <c r="E1222" s="144" t="s">
        <v>20</v>
      </c>
      <c r="F1222" s="143"/>
      <c r="G1222" s="143" t="s">
        <v>3325</v>
      </c>
      <c r="H1222" s="142" t="s">
        <v>250</v>
      </c>
      <c r="I1222" s="143" t="s">
        <v>2247</v>
      </c>
      <c r="J1222" s="142" t="s">
        <v>3326</v>
      </c>
      <c r="K1222" s="142"/>
      <c r="L1222" s="142"/>
      <c r="M1222" s="142"/>
      <c r="N1222" s="12"/>
      <c r="O1222" s="12" t="e">
        <v>#VALUE!</v>
      </c>
      <c r="P1222" s="13" t="str">
        <f t="shared" si="20"/>
        <v/>
      </c>
      <c r="Q1222" s="158"/>
      <c r="R1222" s="142" t="s">
        <v>3327</v>
      </c>
    </row>
    <row r="1223" spans="1:18" s="139" customFormat="1" ht="42.75" customHeight="1" x14ac:dyDescent="0.15">
      <c r="A1223" s="145" t="s">
        <v>2375</v>
      </c>
      <c r="B1223" s="145">
        <v>20</v>
      </c>
      <c r="C1223" s="146" t="s">
        <v>3318</v>
      </c>
      <c r="D1223" s="146">
        <v>1963</v>
      </c>
      <c r="E1223" s="147" t="s">
        <v>20</v>
      </c>
      <c r="F1223" s="146"/>
      <c r="G1223" s="345" t="s">
        <v>3328</v>
      </c>
      <c r="H1223" s="145" t="s">
        <v>3329</v>
      </c>
      <c r="I1223" s="146" t="s">
        <v>3330</v>
      </c>
      <c r="J1223" s="145" t="s">
        <v>3331</v>
      </c>
      <c r="K1223" s="145"/>
      <c r="L1223" s="145"/>
      <c r="M1223" s="145"/>
      <c r="N1223" s="32" t="s">
        <v>3332</v>
      </c>
      <c r="O1223" s="32" t="s">
        <v>2080</v>
      </c>
      <c r="P1223" s="33" t="str">
        <f t="shared" si="20"/>
        <v>学校のあゆみ／亀山西小学校のれきし</v>
      </c>
      <c r="Q1223" s="17" t="str">
        <f>HYPERLINK("http:/kameyamarekihaku.jp/sisi/RekisiHP/kingendai/quiz/school/schoo01l.html","市史近代・現代ページ 学校クイズ")</f>
        <v>市史近代・現代ページ 学校クイズ</v>
      </c>
      <c r="R1223" s="145" t="s">
        <v>3333</v>
      </c>
    </row>
    <row r="1224" spans="1:18" s="139" customFormat="1" ht="33.75" customHeight="1" x14ac:dyDescent="0.15">
      <c r="A1224" s="151"/>
      <c r="B1224" s="151"/>
      <c r="C1224" s="152"/>
      <c r="D1224" s="152"/>
      <c r="E1224" s="153"/>
      <c r="F1224" s="152"/>
      <c r="G1224" s="353"/>
      <c r="H1224" s="151"/>
      <c r="I1224" s="152"/>
      <c r="J1224" s="151"/>
      <c r="K1224" s="151"/>
      <c r="L1224" s="151"/>
      <c r="M1224" s="151"/>
      <c r="N1224" s="29" t="s">
        <v>3334</v>
      </c>
      <c r="O1224" s="29" t="s">
        <v>3335</v>
      </c>
      <c r="P1224" s="30" t="str">
        <f t="shared" si="20"/>
        <v>学校のあゆみ／亀山東小学校のれきし</v>
      </c>
      <c r="Q1224" s="10"/>
      <c r="R1224" s="151"/>
    </row>
    <row r="1225" spans="1:18" s="139" customFormat="1" ht="28.5" customHeight="1" x14ac:dyDescent="0.15">
      <c r="A1225" s="142" t="s">
        <v>2375</v>
      </c>
      <c r="B1225" s="142">
        <v>20</v>
      </c>
      <c r="C1225" s="143" t="s">
        <v>3318</v>
      </c>
      <c r="D1225" s="143">
        <v>1963</v>
      </c>
      <c r="E1225" s="144" t="s">
        <v>20</v>
      </c>
      <c r="F1225" s="143"/>
      <c r="G1225" s="143" t="s">
        <v>3336</v>
      </c>
      <c r="H1225" s="142" t="s">
        <v>464</v>
      </c>
      <c r="I1225" s="143" t="s">
        <v>3337</v>
      </c>
      <c r="J1225" s="142" t="s">
        <v>3338</v>
      </c>
      <c r="K1225" s="142"/>
      <c r="L1225" s="142"/>
      <c r="M1225" s="142"/>
      <c r="N1225" s="12" t="s">
        <v>3339</v>
      </c>
      <c r="O1225" s="12" t="s">
        <v>3340</v>
      </c>
      <c r="P1225" s="13" t="str">
        <f t="shared" si="20"/>
        <v>日本の歴史の中の亀山／現代の亀山／産業／商業</v>
      </c>
      <c r="Q1225" s="158"/>
      <c r="R1225" s="142" t="s">
        <v>2936</v>
      </c>
    </row>
    <row r="1226" spans="1:18" s="139" customFormat="1" ht="15" customHeight="1" x14ac:dyDescent="0.15">
      <c r="A1226" s="142" t="s">
        <v>2375</v>
      </c>
      <c r="B1226" s="142">
        <v>20</v>
      </c>
      <c r="C1226" s="143" t="s">
        <v>3318</v>
      </c>
      <c r="D1226" s="143">
        <v>1963</v>
      </c>
      <c r="E1226" s="144" t="s">
        <v>20</v>
      </c>
      <c r="F1226" s="143"/>
      <c r="G1226" s="143" t="s">
        <v>3341</v>
      </c>
      <c r="H1226" s="142" t="s">
        <v>3342</v>
      </c>
      <c r="I1226" s="143"/>
      <c r="J1226" s="142"/>
      <c r="K1226" s="142"/>
      <c r="L1226" s="142"/>
      <c r="M1226" s="142"/>
      <c r="N1226" s="12"/>
      <c r="O1226" s="12" t="e">
        <v>#VALUE!</v>
      </c>
      <c r="P1226" s="13" t="str">
        <f t="shared" si="20"/>
        <v/>
      </c>
      <c r="Q1226" s="158"/>
      <c r="R1226" s="142" t="s">
        <v>2936</v>
      </c>
    </row>
    <row r="1227" spans="1:18" s="139" customFormat="1" ht="15" customHeight="1" x14ac:dyDescent="0.15">
      <c r="A1227" s="142" t="s">
        <v>2375</v>
      </c>
      <c r="B1227" s="142">
        <v>20</v>
      </c>
      <c r="C1227" s="143" t="s">
        <v>3318</v>
      </c>
      <c r="D1227" s="143">
        <v>1963</v>
      </c>
      <c r="E1227" s="144" t="s">
        <v>20</v>
      </c>
      <c r="F1227" s="143"/>
      <c r="G1227" s="143" t="s">
        <v>3343</v>
      </c>
      <c r="H1227" s="142" t="s">
        <v>156</v>
      </c>
      <c r="I1227" s="175" t="s">
        <v>3049</v>
      </c>
      <c r="J1227" s="142" t="s">
        <v>3344</v>
      </c>
      <c r="K1227" s="142"/>
      <c r="L1227" s="142"/>
      <c r="M1227" s="142"/>
      <c r="N1227" s="12"/>
      <c r="O1227" s="12" t="e">
        <v>#VALUE!</v>
      </c>
      <c r="P1227" s="13" t="str">
        <f t="shared" si="20"/>
        <v/>
      </c>
      <c r="Q1227" s="158"/>
      <c r="R1227" s="142" t="s">
        <v>3345</v>
      </c>
    </row>
    <row r="1228" spans="1:18" s="139" customFormat="1" ht="31.5" customHeight="1" x14ac:dyDescent="0.15">
      <c r="A1228" s="142" t="s">
        <v>2375</v>
      </c>
      <c r="B1228" s="142">
        <v>20</v>
      </c>
      <c r="C1228" s="143" t="s">
        <v>3318</v>
      </c>
      <c r="D1228" s="143">
        <v>1963</v>
      </c>
      <c r="E1228" s="144" t="s">
        <v>20</v>
      </c>
      <c r="F1228" s="143"/>
      <c r="G1228" s="143" t="s">
        <v>3346</v>
      </c>
      <c r="H1228" s="142" t="s">
        <v>3321</v>
      </c>
      <c r="I1228" s="143" t="s">
        <v>3347</v>
      </c>
      <c r="J1228" s="142" t="s">
        <v>3348</v>
      </c>
      <c r="K1228" s="142"/>
      <c r="L1228" s="142"/>
      <c r="M1228" s="142"/>
      <c r="N1228" s="12" t="s">
        <v>2992</v>
      </c>
      <c r="O1228" s="12" t="s">
        <v>2731</v>
      </c>
      <c r="P1228" s="13" t="str">
        <f t="shared" si="20"/>
        <v>日本の歴史の中の亀山／現代の亀山／教育と医療・福祉／保育園</v>
      </c>
      <c r="Q1228" s="158"/>
      <c r="R1228" s="142" t="s">
        <v>3349</v>
      </c>
    </row>
    <row r="1229" spans="1:18" s="139" customFormat="1" ht="15" customHeight="1" x14ac:dyDescent="0.15">
      <c r="A1229" s="142" t="s">
        <v>2375</v>
      </c>
      <c r="B1229" s="142">
        <v>20</v>
      </c>
      <c r="C1229" s="143" t="s">
        <v>3318</v>
      </c>
      <c r="D1229" s="143">
        <v>1963</v>
      </c>
      <c r="E1229" s="144" t="s">
        <v>20</v>
      </c>
      <c r="F1229" s="143"/>
      <c r="G1229" s="143" t="s">
        <v>3350</v>
      </c>
      <c r="H1229" s="142"/>
      <c r="I1229" s="143"/>
      <c r="J1229" s="142"/>
      <c r="K1229" s="142"/>
      <c r="L1229" s="142"/>
      <c r="M1229" s="142"/>
      <c r="N1229" s="12"/>
      <c r="O1229" s="12" t="e">
        <v>#VALUE!</v>
      </c>
      <c r="P1229" s="13" t="str">
        <f t="shared" si="20"/>
        <v/>
      </c>
      <c r="Q1229" s="158"/>
      <c r="R1229" s="142" t="s">
        <v>2936</v>
      </c>
    </row>
    <row r="1230" spans="1:18" s="139" customFormat="1" ht="15" customHeight="1" x14ac:dyDescent="0.15">
      <c r="A1230" s="142" t="s">
        <v>2375</v>
      </c>
      <c r="B1230" s="142">
        <v>20</v>
      </c>
      <c r="C1230" s="143" t="s">
        <v>3318</v>
      </c>
      <c r="D1230" s="143">
        <v>1963</v>
      </c>
      <c r="E1230" s="144" t="s">
        <v>20</v>
      </c>
      <c r="F1230" s="143"/>
      <c r="G1230" s="143" t="s">
        <v>3351</v>
      </c>
      <c r="H1230" s="120" t="s">
        <v>122</v>
      </c>
      <c r="I1230" s="175" t="s">
        <v>3352</v>
      </c>
      <c r="J1230" s="142" t="s">
        <v>3353</v>
      </c>
      <c r="K1230" s="142"/>
      <c r="L1230" s="142"/>
      <c r="M1230" s="142"/>
      <c r="N1230" s="12"/>
      <c r="O1230" s="12" t="e">
        <v>#VALUE!</v>
      </c>
      <c r="P1230" s="13" t="str">
        <f t="shared" si="20"/>
        <v/>
      </c>
      <c r="Q1230" s="158"/>
      <c r="R1230" s="142" t="s">
        <v>2371</v>
      </c>
    </row>
    <row r="1231" spans="1:18" s="139" customFormat="1" ht="15" customHeight="1" x14ac:dyDescent="0.15">
      <c r="A1231" s="142" t="s">
        <v>2375</v>
      </c>
      <c r="B1231" s="142">
        <v>20</v>
      </c>
      <c r="C1231" s="143" t="s">
        <v>3318</v>
      </c>
      <c r="D1231" s="143">
        <v>1963</v>
      </c>
      <c r="E1231" s="144" t="s">
        <v>20</v>
      </c>
      <c r="F1231" s="143"/>
      <c r="G1231" s="143" t="s">
        <v>3354</v>
      </c>
      <c r="H1231" s="120" t="s">
        <v>199</v>
      </c>
      <c r="I1231" s="175" t="s">
        <v>2475</v>
      </c>
      <c r="J1231" s="142" t="s">
        <v>3355</v>
      </c>
      <c r="K1231" s="142"/>
      <c r="L1231" s="142"/>
      <c r="M1231" s="142"/>
      <c r="N1231" s="12"/>
      <c r="O1231" s="12" t="e">
        <v>#VALUE!</v>
      </c>
      <c r="P1231" s="13" t="str">
        <f t="shared" si="20"/>
        <v/>
      </c>
      <c r="Q1231" s="158"/>
      <c r="R1231" s="142" t="s">
        <v>2371</v>
      </c>
    </row>
    <row r="1232" spans="1:18" s="139" customFormat="1" ht="15" customHeight="1" x14ac:dyDescent="0.15">
      <c r="A1232" s="142" t="s">
        <v>2375</v>
      </c>
      <c r="B1232" s="142">
        <v>20</v>
      </c>
      <c r="C1232" s="143" t="s">
        <v>3318</v>
      </c>
      <c r="D1232" s="143">
        <v>1963</v>
      </c>
      <c r="E1232" s="144" t="s">
        <v>20</v>
      </c>
      <c r="F1232" s="143"/>
      <c r="G1232" s="143" t="s">
        <v>3356</v>
      </c>
      <c r="H1232" s="120" t="s">
        <v>199</v>
      </c>
      <c r="I1232" s="175" t="s">
        <v>2475</v>
      </c>
      <c r="J1232" s="142" t="s">
        <v>3357</v>
      </c>
      <c r="K1232" s="142"/>
      <c r="L1232" s="142"/>
      <c r="M1232" s="142"/>
      <c r="N1232" s="12"/>
      <c r="O1232" s="12" t="e">
        <v>#VALUE!</v>
      </c>
      <c r="P1232" s="13" t="str">
        <f t="shared" si="20"/>
        <v/>
      </c>
      <c r="Q1232" s="158"/>
      <c r="R1232" s="142" t="s">
        <v>2371</v>
      </c>
    </row>
    <row r="1233" spans="1:18" s="139" customFormat="1" ht="15" customHeight="1" x14ac:dyDescent="0.15">
      <c r="A1233" s="142" t="s">
        <v>2375</v>
      </c>
      <c r="B1233" s="142">
        <v>20</v>
      </c>
      <c r="C1233" s="143" t="s">
        <v>3318</v>
      </c>
      <c r="D1233" s="143">
        <v>1963</v>
      </c>
      <c r="E1233" s="144" t="s">
        <v>20</v>
      </c>
      <c r="F1233" s="143"/>
      <c r="G1233" s="143" t="s">
        <v>3358</v>
      </c>
      <c r="H1233" s="142" t="s">
        <v>199</v>
      </c>
      <c r="I1233" s="143" t="s">
        <v>2475</v>
      </c>
      <c r="J1233" s="142" t="s">
        <v>3359</v>
      </c>
      <c r="K1233" s="142"/>
      <c r="L1233" s="142"/>
      <c r="M1233" s="142"/>
      <c r="N1233" s="12"/>
      <c r="O1233" s="12" t="e">
        <v>#VALUE!</v>
      </c>
      <c r="P1233" s="13" t="str">
        <f t="shared" si="20"/>
        <v/>
      </c>
      <c r="Q1233" s="158"/>
      <c r="R1233" s="142" t="s">
        <v>2371</v>
      </c>
    </row>
    <row r="1234" spans="1:18" s="139" customFormat="1" ht="15" customHeight="1" x14ac:dyDescent="0.15">
      <c r="A1234" s="142" t="s">
        <v>2375</v>
      </c>
      <c r="B1234" s="142">
        <v>20</v>
      </c>
      <c r="C1234" s="143" t="s">
        <v>3318</v>
      </c>
      <c r="D1234" s="143">
        <v>1963</v>
      </c>
      <c r="E1234" s="144" t="s">
        <v>20</v>
      </c>
      <c r="F1234" s="143"/>
      <c r="G1234" s="143" t="s">
        <v>3360</v>
      </c>
      <c r="H1234" s="142" t="s">
        <v>199</v>
      </c>
      <c r="I1234" s="143" t="s">
        <v>2475</v>
      </c>
      <c r="J1234" s="142" t="s">
        <v>3361</v>
      </c>
      <c r="K1234" s="142"/>
      <c r="L1234" s="142"/>
      <c r="M1234" s="142"/>
      <c r="N1234" s="12"/>
      <c r="O1234" s="12" t="e">
        <v>#VALUE!</v>
      </c>
      <c r="P1234" s="13" t="str">
        <f t="shared" si="20"/>
        <v/>
      </c>
      <c r="Q1234" s="158"/>
      <c r="R1234" s="142" t="s">
        <v>2371</v>
      </c>
    </row>
    <row r="1235" spans="1:18" s="139" customFormat="1" ht="28.5" customHeight="1" x14ac:dyDescent="0.15">
      <c r="A1235" s="142" t="s">
        <v>2375</v>
      </c>
      <c r="B1235" s="142">
        <v>20</v>
      </c>
      <c r="C1235" s="143" t="s">
        <v>3318</v>
      </c>
      <c r="D1235" s="143">
        <v>1963</v>
      </c>
      <c r="E1235" s="144" t="s">
        <v>20</v>
      </c>
      <c r="F1235" s="143"/>
      <c r="G1235" s="143" t="s">
        <v>3362</v>
      </c>
      <c r="H1235" s="142" t="s">
        <v>199</v>
      </c>
      <c r="I1235" s="143" t="s">
        <v>3002</v>
      </c>
      <c r="J1235" s="142" t="s">
        <v>3363</v>
      </c>
      <c r="K1235" s="142"/>
      <c r="L1235" s="142"/>
      <c r="M1235" s="142"/>
      <c r="N1235" s="12"/>
      <c r="O1235" s="12" t="e">
        <v>#VALUE!</v>
      </c>
      <c r="P1235" s="13" t="str">
        <f t="shared" si="20"/>
        <v/>
      </c>
      <c r="Q1235" s="158"/>
      <c r="R1235" s="142" t="s">
        <v>2371</v>
      </c>
    </row>
    <row r="1236" spans="1:18" s="139" customFormat="1" ht="28.5" customHeight="1" x14ac:dyDescent="0.15">
      <c r="A1236" s="142" t="s">
        <v>2375</v>
      </c>
      <c r="B1236" s="142">
        <v>20</v>
      </c>
      <c r="C1236" s="143" t="s">
        <v>3318</v>
      </c>
      <c r="D1236" s="143">
        <v>1963</v>
      </c>
      <c r="E1236" s="144" t="s">
        <v>20</v>
      </c>
      <c r="F1236" s="143"/>
      <c r="G1236" s="143" t="s">
        <v>3364</v>
      </c>
      <c r="H1236" s="142" t="s">
        <v>199</v>
      </c>
      <c r="I1236" s="143" t="s">
        <v>3365</v>
      </c>
      <c r="J1236" s="142" t="s">
        <v>3179</v>
      </c>
      <c r="K1236" s="142"/>
      <c r="L1236" s="142"/>
      <c r="M1236" s="142"/>
      <c r="N1236" s="12"/>
      <c r="O1236" s="12" t="e">
        <v>#VALUE!</v>
      </c>
      <c r="P1236" s="13" t="str">
        <f t="shared" si="20"/>
        <v/>
      </c>
      <c r="Q1236" s="158"/>
      <c r="R1236" s="142" t="s">
        <v>2371</v>
      </c>
    </row>
    <row r="1237" spans="1:18" s="139" customFormat="1" ht="15" customHeight="1" x14ac:dyDescent="0.15">
      <c r="A1237" s="142" t="s">
        <v>2375</v>
      </c>
      <c r="B1237" s="142">
        <v>20</v>
      </c>
      <c r="C1237" s="143" t="s">
        <v>3318</v>
      </c>
      <c r="D1237" s="143">
        <v>1963</v>
      </c>
      <c r="E1237" s="144" t="s">
        <v>20</v>
      </c>
      <c r="F1237" s="143"/>
      <c r="G1237" s="143" t="s">
        <v>3366</v>
      </c>
      <c r="H1237" s="142" t="s">
        <v>199</v>
      </c>
      <c r="I1237" s="143" t="s">
        <v>2475</v>
      </c>
      <c r="J1237" s="142" t="s">
        <v>3367</v>
      </c>
      <c r="K1237" s="142"/>
      <c r="L1237" s="142"/>
      <c r="M1237" s="142"/>
      <c r="N1237" s="12"/>
      <c r="O1237" s="12" t="e">
        <v>#VALUE!</v>
      </c>
      <c r="P1237" s="13" t="str">
        <f t="shared" si="20"/>
        <v/>
      </c>
      <c r="Q1237" s="158"/>
      <c r="R1237" s="142" t="s">
        <v>2371</v>
      </c>
    </row>
    <row r="1238" spans="1:18" s="139" customFormat="1" ht="15" customHeight="1" x14ac:dyDescent="0.15">
      <c r="A1238" s="142" t="s">
        <v>2375</v>
      </c>
      <c r="B1238" s="142">
        <v>20</v>
      </c>
      <c r="C1238" s="143" t="s">
        <v>3318</v>
      </c>
      <c r="D1238" s="143">
        <v>1963</v>
      </c>
      <c r="E1238" s="144" t="s">
        <v>20</v>
      </c>
      <c r="F1238" s="143"/>
      <c r="G1238" s="143" t="s">
        <v>3368</v>
      </c>
      <c r="H1238" s="142" t="s">
        <v>1336</v>
      </c>
      <c r="I1238" s="143" t="s">
        <v>3369</v>
      </c>
      <c r="J1238" s="142" t="s">
        <v>3370</v>
      </c>
      <c r="K1238" s="142"/>
      <c r="L1238" s="142"/>
      <c r="M1238" s="142"/>
      <c r="N1238" s="12"/>
      <c r="O1238" s="12" t="e">
        <v>#VALUE!</v>
      </c>
      <c r="P1238" s="13" t="str">
        <f t="shared" si="20"/>
        <v/>
      </c>
      <c r="Q1238" s="158"/>
      <c r="R1238" s="142" t="s">
        <v>2371</v>
      </c>
    </row>
    <row r="1239" spans="1:18" s="139" customFormat="1" ht="15" customHeight="1" x14ac:dyDescent="0.15">
      <c r="A1239" s="142" t="s">
        <v>2375</v>
      </c>
      <c r="B1239" s="142">
        <v>20</v>
      </c>
      <c r="C1239" s="143" t="s">
        <v>3318</v>
      </c>
      <c r="D1239" s="143">
        <v>1963</v>
      </c>
      <c r="E1239" s="144" t="s">
        <v>20</v>
      </c>
      <c r="F1239" s="143"/>
      <c r="G1239" s="143" t="s">
        <v>3371</v>
      </c>
      <c r="H1239" s="142" t="s">
        <v>199</v>
      </c>
      <c r="I1239" s="143" t="s">
        <v>3372</v>
      </c>
      <c r="J1239" s="142" t="s">
        <v>3373</v>
      </c>
      <c r="K1239" s="142"/>
      <c r="L1239" s="142"/>
      <c r="M1239" s="142"/>
      <c r="N1239" s="12"/>
      <c r="O1239" s="12" t="e">
        <v>#VALUE!</v>
      </c>
      <c r="P1239" s="13" t="str">
        <f t="shared" si="20"/>
        <v/>
      </c>
      <c r="Q1239" s="158"/>
      <c r="R1239" s="142" t="s">
        <v>2371</v>
      </c>
    </row>
    <row r="1240" spans="1:18" s="139" customFormat="1" ht="28.5" customHeight="1" x14ac:dyDescent="0.15">
      <c r="A1240" s="142" t="s">
        <v>2375</v>
      </c>
      <c r="B1240" s="142">
        <v>20</v>
      </c>
      <c r="C1240" s="143" t="s">
        <v>3318</v>
      </c>
      <c r="D1240" s="143">
        <v>1963</v>
      </c>
      <c r="E1240" s="144" t="s">
        <v>20</v>
      </c>
      <c r="F1240" s="143"/>
      <c r="G1240" s="143" t="s">
        <v>3374</v>
      </c>
      <c r="H1240" s="142" t="s">
        <v>199</v>
      </c>
      <c r="I1240" s="143"/>
      <c r="J1240" s="82" t="str">
        <f>HYPERLINK("http://kameyamarekihaku.jp/sisi/tuusiHP_next/kochuusei/image/06/gi.htm?pf=1187sh102.JPG&amp;?pn=%E9%88%B4%E9%B9%BF%E5%B3%A0%EF%BC%88%E3%83%87%E3%82%B8%E3%82%BF%E3%83%AB%E5%85%B1%E6%9C%89%E5%9C%B0%E5%9B%B3%EF%BC%89%E3%80%80","鈴鹿峠")</f>
        <v>鈴鹿峠</v>
      </c>
      <c r="K1240" s="142"/>
      <c r="L1240" s="142"/>
      <c r="M1240" s="142"/>
      <c r="N1240" s="12"/>
      <c r="O1240" s="12" t="e">
        <v>#VALUE!</v>
      </c>
      <c r="P1240" s="13" t="str">
        <f t="shared" si="20"/>
        <v/>
      </c>
      <c r="Q1240" s="158"/>
      <c r="R1240" s="142" t="s">
        <v>2462</v>
      </c>
    </row>
    <row r="1241" spans="1:18" s="139" customFormat="1" ht="15" customHeight="1" x14ac:dyDescent="0.15">
      <c r="A1241" s="142" t="s">
        <v>2375</v>
      </c>
      <c r="B1241" s="142">
        <v>20</v>
      </c>
      <c r="C1241" s="143" t="s">
        <v>3318</v>
      </c>
      <c r="D1241" s="143">
        <v>1963</v>
      </c>
      <c r="E1241" s="144" t="s">
        <v>20</v>
      </c>
      <c r="F1241" s="143"/>
      <c r="G1241" s="143" t="s">
        <v>3375</v>
      </c>
      <c r="H1241" s="142" t="s">
        <v>199</v>
      </c>
      <c r="I1241" s="143" t="s">
        <v>3376</v>
      </c>
      <c r="J1241" s="142"/>
      <c r="K1241" s="142"/>
      <c r="L1241" s="142"/>
      <c r="M1241" s="142"/>
      <c r="N1241" s="12"/>
      <c r="O1241" s="12" t="e">
        <v>#VALUE!</v>
      </c>
      <c r="P1241" s="13" t="str">
        <f t="shared" si="20"/>
        <v/>
      </c>
      <c r="Q1241" s="158"/>
      <c r="R1241" s="142" t="s">
        <v>2371</v>
      </c>
    </row>
    <row r="1242" spans="1:18" s="139" customFormat="1" ht="29.1" customHeight="1" x14ac:dyDescent="0.15">
      <c r="A1242" s="142" t="s">
        <v>2375</v>
      </c>
      <c r="B1242" s="142">
        <v>20</v>
      </c>
      <c r="C1242" s="143" t="s">
        <v>3318</v>
      </c>
      <c r="D1242" s="143">
        <v>1963</v>
      </c>
      <c r="E1242" s="144" t="s">
        <v>20</v>
      </c>
      <c r="F1242" s="143"/>
      <c r="G1242" s="143" t="s">
        <v>3377</v>
      </c>
      <c r="H1242" s="142" t="s">
        <v>199</v>
      </c>
      <c r="I1242" s="143" t="s">
        <v>2475</v>
      </c>
      <c r="J1242" s="142" t="s">
        <v>3378</v>
      </c>
      <c r="K1242" s="142"/>
      <c r="L1242" s="142"/>
      <c r="M1242" s="142"/>
      <c r="N1242" s="12"/>
      <c r="O1242" s="12" t="e">
        <v>#VALUE!</v>
      </c>
      <c r="P1242" s="13" t="str">
        <f t="shared" si="20"/>
        <v/>
      </c>
      <c r="Q1242" s="158"/>
      <c r="R1242" s="142" t="s">
        <v>2462</v>
      </c>
    </row>
    <row r="1243" spans="1:18" s="139" customFormat="1" ht="15" customHeight="1" x14ac:dyDescent="0.15">
      <c r="A1243" s="142" t="s">
        <v>2375</v>
      </c>
      <c r="B1243" s="142">
        <v>20</v>
      </c>
      <c r="C1243" s="143" t="s">
        <v>3379</v>
      </c>
      <c r="D1243" s="143">
        <v>1964</v>
      </c>
      <c r="E1243" s="144" t="s">
        <v>20</v>
      </c>
      <c r="F1243" s="143" t="s">
        <v>3380</v>
      </c>
      <c r="G1243" s="143"/>
      <c r="H1243" s="142"/>
      <c r="I1243" s="143"/>
      <c r="J1243" s="142"/>
      <c r="K1243" s="142"/>
      <c r="L1243" s="142"/>
      <c r="M1243" s="142"/>
      <c r="N1243" s="12"/>
      <c r="O1243" s="12" t="e">
        <v>#VALUE!</v>
      </c>
      <c r="P1243" s="13" t="str">
        <f t="shared" si="20"/>
        <v/>
      </c>
      <c r="Q1243" s="158"/>
      <c r="R1243" s="142"/>
    </row>
    <row r="1244" spans="1:18" s="139" customFormat="1" ht="15" customHeight="1" x14ac:dyDescent="0.15">
      <c r="A1244" s="142" t="s">
        <v>2375</v>
      </c>
      <c r="B1244" s="142">
        <v>20</v>
      </c>
      <c r="C1244" s="143" t="s">
        <v>3379</v>
      </c>
      <c r="D1244" s="143">
        <v>1964</v>
      </c>
      <c r="E1244" s="144" t="s">
        <v>59</v>
      </c>
      <c r="F1244" s="143" t="s">
        <v>3381</v>
      </c>
      <c r="G1244" s="143"/>
      <c r="H1244" s="142"/>
      <c r="I1244" s="143"/>
      <c r="J1244" s="142"/>
      <c r="K1244" s="142"/>
      <c r="L1244" s="142"/>
      <c r="M1244" s="142"/>
      <c r="N1244" s="12"/>
      <c r="O1244" s="12" t="e">
        <v>#VALUE!</v>
      </c>
      <c r="P1244" s="13" t="str">
        <f t="shared" si="20"/>
        <v/>
      </c>
      <c r="Q1244" s="158"/>
      <c r="R1244" s="142"/>
    </row>
    <row r="1245" spans="1:18" s="139" customFormat="1" ht="73.5" customHeight="1" x14ac:dyDescent="0.15">
      <c r="A1245" s="120" t="s">
        <v>2375</v>
      </c>
      <c r="B1245" s="142">
        <v>20</v>
      </c>
      <c r="C1245" s="143" t="s">
        <v>3379</v>
      </c>
      <c r="D1245" s="143">
        <v>1964</v>
      </c>
      <c r="E1245" s="144" t="s">
        <v>20</v>
      </c>
      <c r="F1245" s="238"/>
      <c r="G1245" s="161" t="s">
        <v>3382</v>
      </c>
      <c r="H1245" s="142"/>
      <c r="I1245" s="143"/>
      <c r="J1245" s="142"/>
      <c r="K1245" s="142"/>
      <c r="L1245" s="142"/>
      <c r="M1245" s="142"/>
      <c r="N1245" s="12"/>
      <c r="O1245" s="12" t="e">
        <v>#VALUE!</v>
      </c>
      <c r="P1245" s="13" t="str">
        <f t="shared" si="20"/>
        <v/>
      </c>
      <c r="Q1245" s="158"/>
      <c r="R1245" s="142" t="s">
        <v>2936</v>
      </c>
    </row>
    <row r="1246" spans="1:18" s="139" customFormat="1" ht="28.5" customHeight="1" x14ac:dyDescent="0.15">
      <c r="A1246" s="142" t="s">
        <v>2375</v>
      </c>
      <c r="B1246" s="142">
        <v>20</v>
      </c>
      <c r="C1246" s="143" t="s">
        <v>3379</v>
      </c>
      <c r="D1246" s="143">
        <v>1964</v>
      </c>
      <c r="E1246" s="144" t="s">
        <v>20</v>
      </c>
      <c r="F1246" s="143"/>
      <c r="G1246" s="143" t="s">
        <v>3383</v>
      </c>
      <c r="H1246" s="142" t="s">
        <v>3384</v>
      </c>
      <c r="I1246" s="143"/>
      <c r="J1246" s="142" t="s">
        <v>3385</v>
      </c>
      <c r="K1246" s="142"/>
      <c r="L1246" s="142"/>
      <c r="M1246" s="142"/>
      <c r="N1246" s="23"/>
      <c r="O1246" s="23" t="e">
        <v>#VALUE!</v>
      </c>
      <c r="P1246" s="24" t="str">
        <f t="shared" si="20"/>
        <v/>
      </c>
      <c r="Q1246" s="25" t="str">
        <f>HYPERLINK("http:/kameyamarekihaku.jp/sisi/tuusiHP_next/tuusi-index.html#kingendai0901","市史通史編 近代・現代第9章第1節")</f>
        <v>市史通史編 近代・現代第9章第1節</v>
      </c>
      <c r="R1246" s="142" t="s">
        <v>3386</v>
      </c>
    </row>
    <row r="1247" spans="1:18" s="139" customFormat="1" ht="21" customHeight="1" x14ac:dyDescent="0.15">
      <c r="A1247" s="145" t="s">
        <v>2375</v>
      </c>
      <c r="B1247" s="145">
        <v>20</v>
      </c>
      <c r="C1247" s="146" t="s">
        <v>3379</v>
      </c>
      <c r="D1247" s="146">
        <v>1964</v>
      </c>
      <c r="E1247" s="147" t="s">
        <v>20</v>
      </c>
      <c r="F1247" s="146"/>
      <c r="G1247" s="148" t="s">
        <v>3387</v>
      </c>
      <c r="H1247" s="145" t="s">
        <v>3388</v>
      </c>
      <c r="I1247" s="146" t="s">
        <v>3389</v>
      </c>
      <c r="J1247" s="145" t="s">
        <v>3390</v>
      </c>
      <c r="K1247" s="145"/>
      <c r="L1247" s="145"/>
      <c r="M1247" s="145"/>
      <c r="N1247" s="34" t="s">
        <v>3391</v>
      </c>
      <c r="O1247" s="34" t="s">
        <v>2080</v>
      </c>
      <c r="P1247" s="35" t="str">
        <f t="shared" si="20"/>
        <v>学校のあゆみ／亀山西小学校のれきし</v>
      </c>
      <c r="Q1247" s="160"/>
      <c r="R1247" s="145" t="s">
        <v>2936</v>
      </c>
    </row>
    <row r="1248" spans="1:18" s="139" customFormat="1" ht="18" customHeight="1" x14ac:dyDescent="0.15">
      <c r="A1248" s="151"/>
      <c r="B1248" s="151"/>
      <c r="C1248" s="152"/>
      <c r="D1248" s="152"/>
      <c r="E1248" s="153"/>
      <c r="F1248" s="152"/>
      <c r="G1248" s="155"/>
      <c r="H1248" s="151"/>
      <c r="I1248" s="152"/>
      <c r="J1248" s="151"/>
      <c r="K1248" s="151"/>
      <c r="L1248" s="151"/>
      <c r="M1248" s="151"/>
      <c r="N1248" s="86" t="s">
        <v>3334</v>
      </c>
      <c r="O1248" s="86" t="s">
        <v>3335</v>
      </c>
      <c r="P1248" s="87" t="str">
        <f t="shared" si="20"/>
        <v>学校のあゆみ／亀山東小学校のれきし</v>
      </c>
      <c r="Q1248" s="157"/>
      <c r="R1248" s="151"/>
    </row>
    <row r="1249" spans="1:18" s="139" customFormat="1" ht="15" customHeight="1" x14ac:dyDescent="0.15">
      <c r="A1249" s="142" t="s">
        <v>2375</v>
      </c>
      <c r="B1249" s="142">
        <v>20</v>
      </c>
      <c r="C1249" s="143" t="s">
        <v>3379</v>
      </c>
      <c r="D1249" s="143">
        <v>1964</v>
      </c>
      <c r="E1249" s="144" t="s">
        <v>20</v>
      </c>
      <c r="F1249" s="143"/>
      <c r="G1249" s="143" t="s">
        <v>3392</v>
      </c>
      <c r="H1249" s="142"/>
      <c r="I1249" s="143"/>
      <c r="J1249" s="142"/>
      <c r="K1249" s="142"/>
      <c r="L1249" s="142"/>
      <c r="M1249" s="142"/>
      <c r="N1249" s="12"/>
      <c r="O1249" s="12" t="e">
        <v>#VALUE!</v>
      </c>
      <c r="P1249" s="13" t="str">
        <f t="shared" si="20"/>
        <v/>
      </c>
      <c r="Q1249" s="158"/>
      <c r="R1249" s="142" t="s">
        <v>2936</v>
      </c>
    </row>
    <row r="1250" spans="1:18" s="139" customFormat="1" ht="36" customHeight="1" x14ac:dyDescent="0.15">
      <c r="A1250" s="142" t="s">
        <v>2375</v>
      </c>
      <c r="B1250" s="142">
        <v>20</v>
      </c>
      <c r="C1250" s="143" t="s">
        <v>3379</v>
      </c>
      <c r="D1250" s="143">
        <v>1964</v>
      </c>
      <c r="E1250" s="144" t="s">
        <v>20</v>
      </c>
      <c r="F1250" s="143"/>
      <c r="G1250" s="143" t="s">
        <v>3393</v>
      </c>
      <c r="H1250" s="142"/>
      <c r="I1250" s="143"/>
      <c r="J1250" s="142"/>
      <c r="K1250" s="142"/>
      <c r="L1250" s="142"/>
      <c r="M1250" s="142"/>
      <c r="N1250" s="12" t="s">
        <v>3034</v>
      </c>
      <c r="O1250" s="12" t="s">
        <v>3035</v>
      </c>
      <c r="P1250" s="13" t="str">
        <f t="shared" si="20"/>
        <v>日本の歴史の中の亀山／現代の亀山／行政と政治／水道</v>
      </c>
      <c r="Q1250" s="158"/>
      <c r="R1250" s="142" t="s">
        <v>2936</v>
      </c>
    </row>
    <row r="1251" spans="1:18" s="139" customFormat="1" ht="15" customHeight="1" x14ac:dyDescent="0.15">
      <c r="A1251" s="142" t="s">
        <v>2375</v>
      </c>
      <c r="B1251" s="142">
        <v>20</v>
      </c>
      <c r="C1251" s="143" t="s">
        <v>3379</v>
      </c>
      <c r="D1251" s="143">
        <v>1964</v>
      </c>
      <c r="E1251" s="144" t="s">
        <v>20</v>
      </c>
      <c r="F1251" s="143"/>
      <c r="G1251" s="143" t="s">
        <v>3394</v>
      </c>
      <c r="H1251" s="142" t="s">
        <v>2160</v>
      </c>
      <c r="I1251" s="143"/>
      <c r="J1251" s="142"/>
      <c r="K1251" s="142"/>
      <c r="L1251" s="142"/>
      <c r="M1251" s="142"/>
      <c r="N1251" s="12"/>
      <c r="O1251" s="12" t="e">
        <v>#VALUE!</v>
      </c>
      <c r="P1251" s="13" t="str">
        <f t="shared" si="20"/>
        <v/>
      </c>
      <c r="Q1251" s="158"/>
      <c r="R1251" s="142" t="s">
        <v>2936</v>
      </c>
    </row>
    <row r="1252" spans="1:18" s="139" customFormat="1" ht="43.15" customHeight="1" x14ac:dyDescent="0.15">
      <c r="A1252" s="142" t="s">
        <v>2375</v>
      </c>
      <c r="B1252" s="142">
        <v>20</v>
      </c>
      <c r="C1252" s="143" t="s">
        <v>3379</v>
      </c>
      <c r="D1252" s="143">
        <v>1964</v>
      </c>
      <c r="E1252" s="144" t="s">
        <v>34</v>
      </c>
      <c r="F1252" s="143"/>
      <c r="G1252" s="143" t="s">
        <v>3395</v>
      </c>
      <c r="H1252" s="142"/>
      <c r="I1252" s="143"/>
      <c r="J1252" s="142"/>
      <c r="K1252" s="142"/>
      <c r="L1252" s="142" t="s">
        <v>3396</v>
      </c>
      <c r="M1252" s="142"/>
      <c r="N1252" s="12"/>
      <c r="O1252" s="12" t="e">
        <v>#VALUE!</v>
      </c>
      <c r="P1252" s="13" t="str">
        <f t="shared" si="20"/>
        <v/>
      </c>
      <c r="Q1252" s="158"/>
      <c r="R1252" s="142" t="s">
        <v>3397</v>
      </c>
    </row>
    <row r="1253" spans="1:18" s="139" customFormat="1" ht="28.5" customHeight="1" x14ac:dyDescent="0.15">
      <c r="A1253" s="142" t="s">
        <v>2375</v>
      </c>
      <c r="B1253" s="142">
        <v>20</v>
      </c>
      <c r="C1253" s="143" t="s">
        <v>3379</v>
      </c>
      <c r="D1253" s="143">
        <v>1964</v>
      </c>
      <c r="E1253" s="144" t="s">
        <v>20</v>
      </c>
      <c r="F1253" s="143"/>
      <c r="G1253" s="143" t="s">
        <v>3398</v>
      </c>
      <c r="H1253" s="142"/>
      <c r="I1253" s="143"/>
      <c r="J1253" s="142"/>
      <c r="K1253" s="142"/>
      <c r="L1253" s="142"/>
      <c r="M1253" s="142"/>
      <c r="N1253" s="12"/>
      <c r="O1253" s="12" t="e">
        <v>#VALUE!</v>
      </c>
      <c r="P1253" s="13" t="str">
        <f t="shared" si="20"/>
        <v/>
      </c>
      <c r="Q1253" s="158"/>
      <c r="R1253" s="142" t="s">
        <v>2936</v>
      </c>
    </row>
    <row r="1254" spans="1:18" s="139" customFormat="1" ht="39.4" customHeight="1" x14ac:dyDescent="0.15">
      <c r="A1254" s="142" t="s">
        <v>2375</v>
      </c>
      <c r="B1254" s="142">
        <v>20</v>
      </c>
      <c r="C1254" s="143" t="s">
        <v>3379</v>
      </c>
      <c r="D1254" s="143">
        <v>1964</v>
      </c>
      <c r="E1254" s="144" t="s">
        <v>20</v>
      </c>
      <c r="F1254" s="143"/>
      <c r="G1254" s="143" t="s">
        <v>3399</v>
      </c>
      <c r="H1254" s="142" t="s">
        <v>156</v>
      </c>
      <c r="I1254" s="143"/>
      <c r="J1254" s="142"/>
      <c r="K1254" s="142"/>
      <c r="L1254" s="142"/>
      <c r="M1254" s="142"/>
      <c r="N1254" s="12"/>
      <c r="O1254" s="12" t="e">
        <v>#VALUE!</v>
      </c>
      <c r="P1254" s="13" t="str">
        <f t="shared" si="20"/>
        <v/>
      </c>
      <c r="Q1254" s="158"/>
      <c r="R1254" s="142" t="s">
        <v>2936</v>
      </c>
    </row>
    <row r="1255" spans="1:18" s="139" customFormat="1" ht="15" customHeight="1" x14ac:dyDescent="0.15">
      <c r="A1255" s="142" t="s">
        <v>2375</v>
      </c>
      <c r="B1255" s="142">
        <v>20</v>
      </c>
      <c r="C1255" s="143" t="s">
        <v>3379</v>
      </c>
      <c r="D1255" s="143">
        <v>1964</v>
      </c>
      <c r="E1255" s="144" t="s">
        <v>20</v>
      </c>
      <c r="F1255" s="143"/>
      <c r="G1255" s="143" t="s">
        <v>3400</v>
      </c>
      <c r="H1255" s="142" t="s">
        <v>1336</v>
      </c>
      <c r="I1255" s="143" t="s">
        <v>3260</v>
      </c>
      <c r="J1255" s="142" t="s">
        <v>3401</v>
      </c>
      <c r="K1255" s="142"/>
      <c r="L1255" s="142"/>
      <c r="M1255" s="142"/>
      <c r="N1255" s="12"/>
      <c r="O1255" s="12" t="e">
        <v>#VALUE!</v>
      </c>
      <c r="P1255" s="13" t="str">
        <f t="shared" si="20"/>
        <v/>
      </c>
      <c r="Q1255" s="158"/>
      <c r="R1255" s="142" t="s">
        <v>2371</v>
      </c>
    </row>
    <row r="1256" spans="1:18" s="139" customFormat="1" ht="32.25" customHeight="1" x14ac:dyDescent="0.15">
      <c r="A1256" s="142" t="s">
        <v>2375</v>
      </c>
      <c r="B1256" s="142">
        <v>20</v>
      </c>
      <c r="C1256" s="143" t="s">
        <v>3379</v>
      </c>
      <c r="D1256" s="143">
        <v>1964</v>
      </c>
      <c r="E1256" s="144" t="s">
        <v>20</v>
      </c>
      <c r="F1256" s="143"/>
      <c r="G1256" s="143" t="s">
        <v>3402</v>
      </c>
      <c r="H1256" s="142" t="s">
        <v>1336</v>
      </c>
      <c r="I1256" s="143"/>
      <c r="J1256" s="142" t="s">
        <v>3403</v>
      </c>
      <c r="K1256" s="142"/>
      <c r="L1256" s="142"/>
      <c r="M1256" s="142"/>
      <c r="N1256" s="12" t="s">
        <v>3404</v>
      </c>
      <c r="O1256" s="12" t="s">
        <v>3405</v>
      </c>
      <c r="P1256" s="13" t="str">
        <f t="shared" si="20"/>
        <v>日本の歴史の中の亀山／現代の亀山／交通と通信／道路網の整備</v>
      </c>
      <c r="Q1256" s="158"/>
      <c r="R1256" s="142" t="s">
        <v>2462</v>
      </c>
    </row>
    <row r="1257" spans="1:18" s="139" customFormat="1" ht="33" customHeight="1" x14ac:dyDescent="0.15">
      <c r="A1257" s="142" t="s">
        <v>2375</v>
      </c>
      <c r="B1257" s="142">
        <v>20</v>
      </c>
      <c r="C1257" s="143" t="s">
        <v>3379</v>
      </c>
      <c r="D1257" s="143">
        <v>1964</v>
      </c>
      <c r="E1257" s="144" t="s">
        <v>20</v>
      </c>
      <c r="F1257" s="143"/>
      <c r="G1257" s="143" t="s">
        <v>3406</v>
      </c>
      <c r="H1257" s="142" t="s">
        <v>199</v>
      </c>
      <c r="I1257" s="143"/>
      <c r="J1257" s="142"/>
      <c r="K1257" s="142"/>
      <c r="L1257" s="142"/>
      <c r="M1257" s="142"/>
      <c r="N1257" s="12" t="s">
        <v>3034</v>
      </c>
      <c r="O1257" s="12" t="s">
        <v>3035</v>
      </c>
      <c r="P1257" s="13" t="str">
        <f t="shared" si="20"/>
        <v>日本の歴史の中の亀山／現代の亀山／行政と政治／水道</v>
      </c>
      <c r="Q1257" s="158"/>
      <c r="R1257" s="142" t="s">
        <v>2371</v>
      </c>
    </row>
    <row r="1258" spans="1:18" s="139" customFormat="1" ht="28.5" customHeight="1" x14ac:dyDescent="0.15">
      <c r="A1258" s="142" t="s">
        <v>2375</v>
      </c>
      <c r="B1258" s="142">
        <v>20</v>
      </c>
      <c r="C1258" s="143" t="s">
        <v>3379</v>
      </c>
      <c r="D1258" s="143">
        <v>1964</v>
      </c>
      <c r="E1258" s="144" t="s">
        <v>20</v>
      </c>
      <c r="F1258" s="143"/>
      <c r="G1258" s="143" t="s">
        <v>3407</v>
      </c>
      <c r="H1258" s="142" t="s">
        <v>199</v>
      </c>
      <c r="I1258" s="143" t="s">
        <v>3408</v>
      </c>
      <c r="J1258" s="142" t="s">
        <v>3409</v>
      </c>
      <c r="K1258" s="142"/>
      <c r="L1258" s="142"/>
      <c r="M1258" s="142"/>
      <c r="N1258" s="12"/>
      <c r="O1258" s="12" t="e">
        <v>#VALUE!</v>
      </c>
      <c r="P1258" s="13" t="str">
        <f t="shared" si="20"/>
        <v/>
      </c>
      <c r="Q1258" s="158"/>
      <c r="R1258" s="142" t="s">
        <v>2371</v>
      </c>
    </row>
    <row r="1259" spans="1:18" s="139" customFormat="1" ht="28.5" customHeight="1" x14ac:dyDescent="0.15">
      <c r="A1259" s="142" t="s">
        <v>2375</v>
      </c>
      <c r="B1259" s="142">
        <v>20</v>
      </c>
      <c r="C1259" s="143" t="s">
        <v>3379</v>
      </c>
      <c r="D1259" s="143">
        <v>1964</v>
      </c>
      <c r="E1259" s="144" t="s">
        <v>20</v>
      </c>
      <c r="F1259" s="143"/>
      <c r="G1259" s="143" t="s">
        <v>3410</v>
      </c>
      <c r="H1259" s="142" t="s">
        <v>3107</v>
      </c>
      <c r="I1259" s="143"/>
      <c r="J1259" s="142" t="s">
        <v>3403</v>
      </c>
      <c r="K1259" s="142"/>
      <c r="L1259" s="142"/>
      <c r="M1259" s="142"/>
      <c r="N1259" s="12" t="s">
        <v>3411</v>
      </c>
      <c r="O1259" s="12" t="s">
        <v>3405</v>
      </c>
      <c r="P1259" s="13" t="str">
        <f t="shared" si="20"/>
        <v>日本の歴史の中の亀山／現代の亀山／交通と通信／道路網の整備</v>
      </c>
      <c r="Q1259" s="158"/>
      <c r="R1259" s="142" t="s">
        <v>2371</v>
      </c>
    </row>
    <row r="1260" spans="1:18" s="139" customFormat="1" ht="28.5" customHeight="1" x14ac:dyDescent="0.15">
      <c r="A1260" s="142" t="s">
        <v>2375</v>
      </c>
      <c r="B1260" s="142">
        <v>20</v>
      </c>
      <c r="C1260" s="143"/>
      <c r="D1260" s="143"/>
      <c r="E1260" s="144" t="s">
        <v>20</v>
      </c>
      <c r="F1260" s="143" t="s">
        <v>3412</v>
      </c>
      <c r="G1260" s="143"/>
      <c r="H1260" s="142"/>
      <c r="I1260" s="143"/>
      <c r="J1260" s="142"/>
      <c r="K1260" s="142"/>
      <c r="L1260" s="142"/>
      <c r="M1260" s="142"/>
      <c r="N1260" s="12"/>
      <c r="O1260" s="12" t="e">
        <v>#VALUE!</v>
      </c>
      <c r="P1260" s="13" t="str">
        <f t="shared" si="20"/>
        <v/>
      </c>
      <c r="Q1260" s="158"/>
      <c r="R1260" s="142"/>
    </row>
    <row r="1261" spans="1:18" s="139" customFormat="1" ht="15.75" customHeight="1" x14ac:dyDescent="0.15">
      <c r="A1261" s="142" t="s">
        <v>2375</v>
      </c>
      <c r="B1261" s="142">
        <v>20</v>
      </c>
      <c r="C1261" s="143" t="s">
        <v>3413</v>
      </c>
      <c r="D1261" s="143">
        <v>1965</v>
      </c>
      <c r="E1261" s="144" t="s">
        <v>59</v>
      </c>
      <c r="F1261" s="143" t="s">
        <v>3414</v>
      </c>
      <c r="G1261" s="143"/>
      <c r="H1261" s="142"/>
      <c r="I1261" s="143"/>
      <c r="J1261" s="142"/>
      <c r="K1261" s="142"/>
      <c r="L1261" s="142"/>
      <c r="M1261" s="142"/>
      <c r="N1261" s="12"/>
      <c r="O1261" s="12" t="e">
        <v>#VALUE!</v>
      </c>
      <c r="P1261" s="13" t="str">
        <f t="shared" si="20"/>
        <v/>
      </c>
      <c r="Q1261" s="158"/>
      <c r="R1261" s="142"/>
    </row>
    <row r="1262" spans="1:18" s="139" customFormat="1" ht="43.5" customHeight="1" x14ac:dyDescent="0.15">
      <c r="A1262" s="142" t="s">
        <v>2375</v>
      </c>
      <c r="B1262" s="142">
        <v>20</v>
      </c>
      <c r="C1262" s="143" t="s">
        <v>3413</v>
      </c>
      <c r="D1262" s="143">
        <v>1965</v>
      </c>
      <c r="E1262" s="144" t="s">
        <v>20</v>
      </c>
      <c r="F1262" s="143"/>
      <c r="G1262" s="143" t="s">
        <v>3415</v>
      </c>
      <c r="H1262" s="142"/>
      <c r="I1262" s="143"/>
      <c r="J1262" s="142"/>
      <c r="K1262" s="142"/>
      <c r="L1262" s="142"/>
      <c r="M1262" s="142"/>
      <c r="N1262" s="12"/>
      <c r="O1262" s="12" t="e">
        <v>#VALUE!</v>
      </c>
      <c r="P1262" s="13" t="str">
        <f t="shared" si="20"/>
        <v/>
      </c>
      <c r="Q1262" s="158"/>
      <c r="R1262" s="142" t="s">
        <v>2936</v>
      </c>
    </row>
    <row r="1263" spans="1:18" s="139" customFormat="1" ht="28.5" customHeight="1" x14ac:dyDescent="0.15">
      <c r="A1263" s="142" t="s">
        <v>2375</v>
      </c>
      <c r="B1263" s="142">
        <v>20</v>
      </c>
      <c r="C1263" s="143" t="s">
        <v>3413</v>
      </c>
      <c r="D1263" s="143">
        <v>1965</v>
      </c>
      <c r="E1263" s="144" t="s">
        <v>20</v>
      </c>
      <c r="F1263" s="143"/>
      <c r="G1263" s="143" t="s">
        <v>3416</v>
      </c>
      <c r="H1263" s="142"/>
      <c r="I1263" s="143"/>
      <c r="J1263" s="142" t="s">
        <v>3417</v>
      </c>
      <c r="K1263" s="142"/>
      <c r="L1263" s="142"/>
      <c r="M1263" s="142"/>
      <c r="N1263" s="12"/>
      <c r="O1263" s="12" t="e">
        <v>#VALUE!</v>
      </c>
      <c r="P1263" s="13" t="str">
        <f t="shared" si="20"/>
        <v/>
      </c>
      <c r="Q1263" s="158"/>
      <c r="R1263" s="142" t="s">
        <v>2936</v>
      </c>
    </row>
    <row r="1264" spans="1:18" s="139" customFormat="1" ht="15" customHeight="1" x14ac:dyDescent="0.15">
      <c r="A1264" s="142" t="s">
        <v>2375</v>
      </c>
      <c r="B1264" s="142">
        <v>20</v>
      </c>
      <c r="C1264" s="143" t="s">
        <v>3413</v>
      </c>
      <c r="D1264" s="143">
        <v>1965</v>
      </c>
      <c r="E1264" s="144" t="s">
        <v>20</v>
      </c>
      <c r="F1264" s="143" t="s">
        <v>3418</v>
      </c>
      <c r="G1264" s="143"/>
      <c r="H1264" s="142"/>
      <c r="I1264" s="143"/>
      <c r="J1264" s="142"/>
      <c r="K1264" s="142"/>
      <c r="L1264" s="142"/>
      <c r="M1264" s="142"/>
      <c r="N1264" s="12"/>
      <c r="O1264" s="12" t="e">
        <v>#VALUE!</v>
      </c>
      <c r="P1264" s="13" t="str">
        <f t="shared" si="20"/>
        <v/>
      </c>
      <c r="Q1264" s="158"/>
      <c r="R1264" s="142"/>
    </row>
    <row r="1265" spans="1:18" s="139" customFormat="1" ht="15" customHeight="1" x14ac:dyDescent="0.15">
      <c r="A1265" s="142" t="s">
        <v>2375</v>
      </c>
      <c r="B1265" s="142">
        <v>20</v>
      </c>
      <c r="C1265" s="143" t="s">
        <v>3413</v>
      </c>
      <c r="D1265" s="143">
        <v>1965</v>
      </c>
      <c r="E1265" s="144" t="s">
        <v>20</v>
      </c>
      <c r="F1265" s="143"/>
      <c r="G1265" s="143" t="s">
        <v>3419</v>
      </c>
      <c r="H1265" s="142" t="s">
        <v>464</v>
      </c>
      <c r="I1265" s="143" t="s">
        <v>3420</v>
      </c>
      <c r="J1265" s="142" t="s">
        <v>3421</v>
      </c>
      <c r="K1265" s="142"/>
      <c r="L1265" s="142"/>
      <c r="M1265" s="142"/>
      <c r="N1265" s="12"/>
      <c r="O1265" s="12" t="e">
        <v>#VALUE!</v>
      </c>
      <c r="P1265" s="13" t="str">
        <f t="shared" si="20"/>
        <v/>
      </c>
      <c r="Q1265" s="158"/>
      <c r="R1265" s="142" t="s">
        <v>3422</v>
      </c>
    </row>
    <row r="1266" spans="1:18" s="139" customFormat="1" ht="27.6" customHeight="1" x14ac:dyDescent="0.15">
      <c r="A1266" s="142" t="s">
        <v>2375</v>
      </c>
      <c r="B1266" s="142">
        <v>20</v>
      </c>
      <c r="C1266" s="143" t="s">
        <v>3413</v>
      </c>
      <c r="D1266" s="143">
        <v>1965</v>
      </c>
      <c r="E1266" s="144" t="s">
        <v>20</v>
      </c>
      <c r="F1266" s="143"/>
      <c r="G1266" s="143" t="s">
        <v>3423</v>
      </c>
      <c r="H1266" s="142" t="s">
        <v>2387</v>
      </c>
      <c r="I1266" s="175" t="s">
        <v>2388</v>
      </c>
      <c r="J1266" s="142" t="s">
        <v>3239</v>
      </c>
      <c r="K1266" s="142"/>
      <c r="L1266" s="142"/>
      <c r="M1266" s="142"/>
      <c r="N1266" s="12" t="s">
        <v>3424</v>
      </c>
      <c r="O1266" s="12" t="s">
        <v>2164</v>
      </c>
      <c r="P1266" s="13" t="str">
        <f t="shared" si="20"/>
        <v>学校のあゆみ／野登小学校のれきし</v>
      </c>
      <c r="Q1266" s="158"/>
      <c r="R1266" s="142" t="s">
        <v>3422</v>
      </c>
    </row>
    <row r="1267" spans="1:18" s="139" customFormat="1" ht="15" customHeight="1" x14ac:dyDescent="0.15">
      <c r="A1267" s="142" t="s">
        <v>2375</v>
      </c>
      <c r="B1267" s="142">
        <v>20</v>
      </c>
      <c r="C1267" s="143" t="s">
        <v>3413</v>
      </c>
      <c r="D1267" s="143">
        <v>1965</v>
      </c>
      <c r="E1267" s="144" t="s">
        <v>20</v>
      </c>
      <c r="F1267" s="143"/>
      <c r="G1267" s="143" t="s">
        <v>3425</v>
      </c>
      <c r="H1267" s="142" t="s">
        <v>250</v>
      </c>
      <c r="I1267" s="143" t="s">
        <v>2781</v>
      </c>
      <c r="J1267" s="142" t="s">
        <v>3426</v>
      </c>
      <c r="K1267" s="142"/>
      <c r="L1267" s="142"/>
      <c r="M1267" s="142"/>
      <c r="N1267" s="12"/>
      <c r="O1267" s="12" t="e">
        <v>#VALUE!</v>
      </c>
      <c r="P1267" s="13" t="str">
        <f t="shared" si="20"/>
        <v/>
      </c>
      <c r="Q1267" s="158"/>
      <c r="R1267" s="142" t="s">
        <v>3422</v>
      </c>
    </row>
    <row r="1268" spans="1:18" s="139" customFormat="1" ht="32.25" customHeight="1" x14ac:dyDescent="0.15">
      <c r="A1268" s="142" t="s">
        <v>2375</v>
      </c>
      <c r="B1268" s="142">
        <v>20</v>
      </c>
      <c r="C1268" s="143" t="s">
        <v>3413</v>
      </c>
      <c r="D1268" s="143">
        <v>1965</v>
      </c>
      <c r="E1268" s="144" t="s">
        <v>20</v>
      </c>
      <c r="F1268" s="143"/>
      <c r="G1268" s="143" t="s">
        <v>3427</v>
      </c>
      <c r="H1268" s="142"/>
      <c r="I1268" s="143"/>
      <c r="J1268" s="142"/>
      <c r="K1268" s="142"/>
      <c r="L1268" s="142"/>
      <c r="M1268" s="142"/>
      <c r="N1268" s="12" t="s">
        <v>3034</v>
      </c>
      <c r="O1268" s="12" t="s">
        <v>3035</v>
      </c>
      <c r="P1268" s="13" t="str">
        <f t="shared" si="20"/>
        <v>日本の歴史の中の亀山／現代の亀山／行政と政治／水道</v>
      </c>
      <c r="Q1268" s="158"/>
      <c r="R1268" s="142" t="s">
        <v>3422</v>
      </c>
    </row>
    <row r="1269" spans="1:18" s="139" customFormat="1" ht="28.5" customHeight="1" x14ac:dyDescent="0.15">
      <c r="A1269" s="142" t="s">
        <v>2375</v>
      </c>
      <c r="B1269" s="142">
        <v>20</v>
      </c>
      <c r="C1269" s="143" t="s">
        <v>3413</v>
      </c>
      <c r="D1269" s="143">
        <v>1965</v>
      </c>
      <c r="E1269" s="144" t="s">
        <v>20</v>
      </c>
      <c r="F1269" s="143"/>
      <c r="G1269" s="143" t="s">
        <v>3428</v>
      </c>
      <c r="H1269" s="142" t="s">
        <v>464</v>
      </c>
      <c r="I1269" s="143" t="s">
        <v>3420</v>
      </c>
      <c r="J1269" s="142" t="s">
        <v>3429</v>
      </c>
      <c r="K1269" s="142"/>
      <c r="L1269" s="142"/>
      <c r="M1269" s="142"/>
      <c r="N1269" s="12"/>
      <c r="O1269" s="12" t="e">
        <v>#VALUE!</v>
      </c>
      <c r="P1269" s="13" t="str">
        <f t="shared" si="20"/>
        <v/>
      </c>
      <c r="Q1269" s="158"/>
      <c r="R1269" s="142" t="s">
        <v>3422</v>
      </c>
    </row>
    <row r="1270" spans="1:18" s="139" customFormat="1" ht="15" customHeight="1" x14ac:dyDescent="0.15">
      <c r="A1270" s="142" t="s">
        <v>2375</v>
      </c>
      <c r="B1270" s="142">
        <v>20</v>
      </c>
      <c r="C1270" s="143" t="s">
        <v>3413</v>
      </c>
      <c r="D1270" s="143">
        <v>1965</v>
      </c>
      <c r="E1270" s="144" t="s">
        <v>34</v>
      </c>
      <c r="F1270" s="143"/>
      <c r="G1270" s="143" t="s">
        <v>3430</v>
      </c>
      <c r="H1270" s="142" t="s">
        <v>464</v>
      </c>
      <c r="I1270" s="143" t="s">
        <v>1157</v>
      </c>
      <c r="J1270" s="142" t="s">
        <v>3431</v>
      </c>
      <c r="K1270" s="142"/>
      <c r="L1270" s="142"/>
      <c r="M1270" s="142"/>
      <c r="N1270" s="12"/>
      <c r="O1270" s="12" t="e">
        <v>#VALUE!</v>
      </c>
      <c r="P1270" s="13" t="str">
        <f t="shared" si="20"/>
        <v/>
      </c>
      <c r="Q1270" s="158"/>
      <c r="R1270" s="142" t="s">
        <v>3422</v>
      </c>
    </row>
    <row r="1271" spans="1:18" s="139" customFormat="1" ht="28.5" customHeight="1" x14ac:dyDescent="0.15">
      <c r="A1271" s="142" t="s">
        <v>2375</v>
      </c>
      <c r="B1271" s="142">
        <v>20</v>
      </c>
      <c r="C1271" s="143" t="s">
        <v>3413</v>
      </c>
      <c r="D1271" s="143">
        <v>1965</v>
      </c>
      <c r="E1271" s="144" t="s">
        <v>20</v>
      </c>
      <c r="F1271" s="143"/>
      <c r="G1271" s="143" t="s">
        <v>3432</v>
      </c>
      <c r="H1271" s="142" t="s">
        <v>464</v>
      </c>
      <c r="I1271" s="143" t="s">
        <v>3433</v>
      </c>
      <c r="J1271" s="142"/>
      <c r="K1271" s="142"/>
      <c r="L1271" s="142"/>
      <c r="M1271" s="142"/>
      <c r="N1271" s="12" t="s">
        <v>2103</v>
      </c>
      <c r="O1271" s="12" t="s">
        <v>365</v>
      </c>
      <c r="P1271" s="13" t="str">
        <f t="shared" si="20"/>
        <v>亀山のいいとこさがし／景色のよいところや歴史を知る手掛かりとなるもの／川</v>
      </c>
      <c r="Q1271" s="158"/>
      <c r="R1271" s="142" t="s">
        <v>3422</v>
      </c>
    </row>
    <row r="1272" spans="1:18" s="139" customFormat="1" ht="43.5" customHeight="1" x14ac:dyDescent="0.15">
      <c r="A1272" s="142" t="s">
        <v>2375</v>
      </c>
      <c r="B1272" s="142">
        <v>20</v>
      </c>
      <c r="C1272" s="143" t="s">
        <v>3413</v>
      </c>
      <c r="D1272" s="143">
        <v>1965</v>
      </c>
      <c r="E1272" s="144" t="s">
        <v>20</v>
      </c>
      <c r="F1272" s="143"/>
      <c r="G1272" s="143" t="s">
        <v>3434</v>
      </c>
      <c r="H1272" s="142"/>
      <c r="I1272" s="143"/>
      <c r="J1272" s="142"/>
      <c r="K1272" s="142"/>
      <c r="L1272" s="142"/>
      <c r="M1272" s="142"/>
      <c r="N1272" s="12"/>
      <c r="O1272" s="12" t="e">
        <v>#VALUE!</v>
      </c>
      <c r="P1272" s="13" t="str">
        <f t="shared" si="20"/>
        <v/>
      </c>
      <c r="Q1272" s="158"/>
      <c r="R1272" s="142" t="s">
        <v>3435</v>
      </c>
    </row>
    <row r="1273" spans="1:18" s="139" customFormat="1" ht="15" customHeight="1" x14ac:dyDescent="0.15">
      <c r="A1273" s="142" t="s">
        <v>2375</v>
      </c>
      <c r="B1273" s="142">
        <v>20</v>
      </c>
      <c r="C1273" s="143" t="s">
        <v>3413</v>
      </c>
      <c r="D1273" s="143">
        <v>1965</v>
      </c>
      <c r="E1273" s="144" t="s">
        <v>20</v>
      </c>
      <c r="F1273" s="143"/>
      <c r="G1273" s="143" t="s">
        <v>3436</v>
      </c>
      <c r="H1273" s="142"/>
      <c r="I1273" s="143"/>
      <c r="J1273" s="142"/>
      <c r="K1273" s="142"/>
      <c r="L1273" s="142"/>
      <c r="M1273" s="142"/>
      <c r="N1273" s="12"/>
      <c r="O1273" s="12" t="e">
        <v>#VALUE!</v>
      </c>
      <c r="P1273" s="13" t="str">
        <f t="shared" si="20"/>
        <v/>
      </c>
      <c r="Q1273" s="158"/>
      <c r="R1273" s="142" t="s">
        <v>2936</v>
      </c>
    </row>
    <row r="1274" spans="1:18" s="139" customFormat="1" ht="42.6" customHeight="1" x14ac:dyDescent="0.15">
      <c r="A1274" s="142" t="s">
        <v>2375</v>
      </c>
      <c r="B1274" s="142">
        <v>20</v>
      </c>
      <c r="C1274" s="143" t="s">
        <v>3413</v>
      </c>
      <c r="D1274" s="143">
        <v>1965</v>
      </c>
      <c r="E1274" s="144" t="s">
        <v>20</v>
      </c>
      <c r="F1274" s="143"/>
      <c r="G1274" s="143" t="s">
        <v>3437</v>
      </c>
      <c r="H1274" s="142"/>
      <c r="I1274" s="143"/>
      <c r="J1274" s="142" t="s">
        <v>3403</v>
      </c>
      <c r="K1274" s="142"/>
      <c r="L1274" s="142"/>
      <c r="M1274" s="142"/>
      <c r="N1274" s="23" t="s">
        <v>3438</v>
      </c>
      <c r="O1274" s="23" t="s">
        <v>3405</v>
      </c>
      <c r="P1274" s="24" t="str">
        <f t="shared" si="20"/>
        <v>日本の歴史の中の亀山／現代の亀山／交通と通信／道路網の整備</v>
      </c>
      <c r="Q1274" s="25" t="str">
        <f>HYPERLINK("http://kameyamarekihaku.jp/sisi/RekisiHP/kingendai/quiz/kawa.hasi.mici/hasi.kawa.michi.html","市史近代・現代ページ 道・橋・川クイズ")</f>
        <v>市史近代・現代ページ 道・橋・川クイズ</v>
      </c>
      <c r="R1274" s="142" t="s">
        <v>3439</v>
      </c>
    </row>
    <row r="1275" spans="1:18" s="139" customFormat="1" ht="28.5" customHeight="1" x14ac:dyDescent="0.15">
      <c r="A1275" s="142" t="s">
        <v>2375</v>
      </c>
      <c r="B1275" s="142">
        <v>20</v>
      </c>
      <c r="C1275" s="143" t="s">
        <v>3413</v>
      </c>
      <c r="D1275" s="143">
        <v>1965</v>
      </c>
      <c r="E1275" s="144" t="s">
        <v>20</v>
      </c>
      <c r="F1275" s="143"/>
      <c r="G1275" s="143" t="s">
        <v>3440</v>
      </c>
      <c r="H1275" s="142" t="s">
        <v>199</v>
      </c>
      <c r="I1275" s="143" t="s">
        <v>3441</v>
      </c>
      <c r="J1275" s="142" t="s">
        <v>3442</v>
      </c>
      <c r="K1275" s="142"/>
      <c r="L1275" s="142"/>
      <c r="M1275" s="142"/>
      <c r="N1275" s="12"/>
      <c r="O1275" s="12" t="e">
        <v>#VALUE!</v>
      </c>
      <c r="P1275" s="13" t="str">
        <f t="shared" si="20"/>
        <v/>
      </c>
      <c r="Q1275" s="158"/>
      <c r="R1275" s="142" t="s">
        <v>2371</v>
      </c>
    </row>
    <row r="1276" spans="1:18" s="139" customFormat="1" ht="15" customHeight="1" x14ac:dyDescent="0.15">
      <c r="A1276" s="142" t="s">
        <v>2375</v>
      </c>
      <c r="B1276" s="142">
        <v>20</v>
      </c>
      <c r="C1276" s="143" t="s">
        <v>3413</v>
      </c>
      <c r="D1276" s="143">
        <v>1965</v>
      </c>
      <c r="E1276" s="144" t="s">
        <v>20</v>
      </c>
      <c r="F1276" s="143"/>
      <c r="G1276" s="143" t="s">
        <v>3443</v>
      </c>
      <c r="H1276" s="142" t="s">
        <v>199</v>
      </c>
      <c r="I1276" s="143"/>
      <c r="J1276" s="142"/>
      <c r="K1276" s="142"/>
      <c r="L1276" s="142"/>
      <c r="M1276" s="142"/>
      <c r="N1276" s="12"/>
      <c r="O1276" s="12" t="e">
        <v>#VALUE!</v>
      </c>
      <c r="P1276" s="13" t="str">
        <f t="shared" si="20"/>
        <v/>
      </c>
      <c r="Q1276" s="158"/>
      <c r="R1276" s="142" t="s">
        <v>2371</v>
      </c>
    </row>
    <row r="1277" spans="1:18" s="139" customFormat="1" ht="15" customHeight="1" x14ac:dyDescent="0.15">
      <c r="A1277" s="142" t="s">
        <v>2375</v>
      </c>
      <c r="B1277" s="142">
        <v>20</v>
      </c>
      <c r="C1277" s="143" t="s">
        <v>3413</v>
      </c>
      <c r="D1277" s="143">
        <v>1965</v>
      </c>
      <c r="E1277" s="144" t="s">
        <v>20</v>
      </c>
      <c r="F1277" s="143"/>
      <c r="G1277" s="143" t="s">
        <v>3444</v>
      </c>
      <c r="H1277" s="142" t="s">
        <v>3107</v>
      </c>
      <c r="I1277" s="175" t="s">
        <v>2475</v>
      </c>
      <c r="J1277" s="142" t="s">
        <v>3445</v>
      </c>
      <c r="K1277" s="142"/>
      <c r="L1277" s="142"/>
      <c r="M1277" s="142"/>
      <c r="N1277" s="12" t="s">
        <v>3185</v>
      </c>
      <c r="O1277" s="12" t="s">
        <v>2787</v>
      </c>
      <c r="P1277" s="13" t="str">
        <f t="shared" si="20"/>
        <v>学校のあゆみ／亀山中学校のれきし</v>
      </c>
      <c r="Q1277" s="158"/>
      <c r="R1277" s="142" t="s">
        <v>2371</v>
      </c>
    </row>
    <row r="1278" spans="1:18" s="139" customFormat="1" ht="15" customHeight="1" x14ac:dyDescent="0.15">
      <c r="A1278" s="142" t="s">
        <v>2375</v>
      </c>
      <c r="B1278" s="142">
        <v>20</v>
      </c>
      <c r="C1278" s="143" t="s">
        <v>3413</v>
      </c>
      <c r="D1278" s="143">
        <v>1965</v>
      </c>
      <c r="E1278" s="144" t="s">
        <v>20</v>
      </c>
      <c r="F1278" s="143"/>
      <c r="G1278" s="143" t="s">
        <v>3446</v>
      </c>
      <c r="H1278" s="142" t="s">
        <v>1336</v>
      </c>
      <c r="I1278" s="143" t="s">
        <v>2393</v>
      </c>
      <c r="J1278" s="142" t="s">
        <v>2736</v>
      </c>
      <c r="K1278" s="142"/>
      <c r="L1278" s="142"/>
      <c r="M1278" s="142"/>
      <c r="N1278" s="12"/>
      <c r="O1278" s="12" t="e">
        <v>#VALUE!</v>
      </c>
      <c r="P1278" s="13" t="str">
        <f t="shared" si="20"/>
        <v/>
      </c>
      <c r="Q1278" s="158"/>
      <c r="R1278" s="142" t="s">
        <v>2371</v>
      </c>
    </row>
    <row r="1279" spans="1:18" s="139" customFormat="1" ht="28.5" customHeight="1" x14ac:dyDescent="0.15">
      <c r="A1279" s="142" t="s">
        <v>2375</v>
      </c>
      <c r="B1279" s="142">
        <v>20</v>
      </c>
      <c r="C1279" s="143" t="s">
        <v>3413</v>
      </c>
      <c r="D1279" s="143">
        <v>1965</v>
      </c>
      <c r="E1279" s="144" t="s">
        <v>34</v>
      </c>
      <c r="F1279" s="143"/>
      <c r="G1279" s="143" t="s">
        <v>3447</v>
      </c>
      <c r="H1279" s="142" t="s">
        <v>199</v>
      </c>
      <c r="I1279" s="143" t="s">
        <v>2593</v>
      </c>
      <c r="J1279" s="142" t="s">
        <v>3448</v>
      </c>
      <c r="K1279" s="142"/>
      <c r="L1279" s="142"/>
      <c r="M1279" s="142"/>
      <c r="N1279" s="23"/>
      <c r="O1279" s="23" t="e">
        <v>#VALUE!</v>
      </c>
      <c r="P1279" s="24" t="str">
        <f t="shared" si="20"/>
        <v/>
      </c>
      <c r="Q1279" s="25" t="str">
        <f>HYPERLINK("http:/kameyamarekihaku.jp/sisi/RekisiHP/kingendai/quiz/meisho.kyuusho/meishou.html","市史近代・現代ページ 遺跡・名勝クイズ")</f>
        <v>市史近代・現代ページ 遺跡・名勝クイズ</v>
      </c>
      <c r="R1279" s="142" t="s">
        <v>2451</v>
      </c>
    </row>
    <row r="1280" spans="1:18" s="139" customFormat="1" ht="65.45" customHeight="1" x14ac:dyDescent="0.15">
      <c r="A1280" s="142" t="s">
        <v>2375</v>
      </c>
      <c r="B1280" s="142">
        <v>20</v>
      </c>
      <c r="C1280" s="143" t="s">
        <v>3413</v>
      </c>
      <c r="D1280" s="143">
        <v>1965</v>
      </c>
      <c r="E1280" s="144" t="s">
        <v>20</v>
      </c>
      <c r="F1280" s="143"/>
      <c r="G1280" s="143" t="s">
        <v>3449</v>
      </c>
      <c r="H1280" s="142"/>
      <c r="I1280" s="143"/>
      <c r="J1280" s="142"/>
      <c r="K1280" s="142"/>
      <c r="L1280" s="142"/>
      <c r="M1280" s="142"/>
      <c r="N1280" s="12"/>
      <c r="O1280" s="12" t="e">
        <v>#VALUE!</v>
      </c>
      <c r="P1280" s="13" t="str">
        <f t="shared" si="20"/>
        <v/>
      </c>
      <c r="Q1280" s="158"/>
      <c r="R1280" s="142" t="s">
        <v>2371</v>
      </c>
    </row>
    <row r="1281" spans="1:18" s="139" customFormat="1" ht="43.5" customHeight="1" x14ac:dyDescent="0.15">
      <c r="A1281" s="142" t="s">
        <v>2375</v>
      </c>
      <c r="B1281" s="142">
        <v>20</v>
      </c>
      <c r="C1281" s="143" t="s">
        <v>3450</v>
      </c>
      <c r="D1281" s="143">
        <v>1966</v>
      </c>
      <c r="E1281" s="144" t="s">
        <v>20</v>
      </c>
      <c r="F1281" s="143"/>
      <c r="G1281" s="143" t="s">
        <v>3451</v>
      </c>
      <c r="H1281" s="142"/>
      <c r="I1281" s="143"/>
      <c r="J1281" s="142" t="s">
        <v>3452</v>
      </c>
      <c r="K1281" s="142"/>
      <c r="L1281" s="142"/>
      <c r="M1281" s="142"/>
      <c r="N1281" s="12" t="s">
        <v>2493</v>
      </c>
      <c r="O1281" s="12" t="s">
        <v>2484</v>
      </c>
      <c r="P1281" s="13" t="str">
        <f t="shared" si="20"/>
        <v>日本の歴史の中の亀山／現代の亀山／交通と通信／バス</v>
      </c>
      <c r="Q1281" s="158"/>
      <c r="R1281" s="142" t="s">
        <v>3453</v>
      </c>
    </row>
    <row r="1282" spans="1:18" s="139" customFormat="1" ht="28.5" customHeight="1" x14ac:dyDescent="0.15">
      <c r="A1282" s="142" t="s">
        <v>2375</v>
      </c>
      <c r="B1282" s="142">
        <v>20</v>
      </c>
      <c r="C1282" s="143" t="s">
        <v>3450</v>
      </c>
      <c r="D1282" s="143">
        <v>1966</v>
      </c>
      <c r="E1282" s="144" t="s">
        <v>20</v>
      </c>
      <c r="F1282" s="143"/>
      <c r="G1282" s="143" t="s">
        <v>3454</v>
      </c>
      <c r="H1282" s="142"/>
      <c r="I1282" s="143"/>
      <c r="J1282" s="142"/>
      <c r="K1282" s="142"/>
      <c r="L1282" s="142"/>
      <c r="M1282" s="142"/>
      <c r="N1282" s="12"/>
      <c r="O1282" s="12" t="e">
        <v>#VALUE!</v>
      </c>
      <c r="P1282" s="13" t="str">
        <f t="shared" si="20"/>
        <v/>
      </c>
      <c r="Q1282" s="158"/>
      <c r="R1282" s="142" t="s">
        <v>3422</v>
      </c>
    </row>
    <row r="1283" spans="1:18" s="139" customFormat="1" ht="33" customHeight="1" x14ac:dyDescent="0.15">
      <c r="A1283" s="142" t="s">
        <v>2375</v>
      </c>
      <c r="B1283" s="142">
        <v>20</v>
      </c>
      <c r="C1283" s="143" t="s">
        <v>3450</v>
      </c>
      <c r="D1283" s="143">
        <v>1966</v>
      </c>
      <c r="E1283" s="144" t="s">
        <v>20</v>
      </c>
      <c r="F1283" s="143"/>
      <c r="G1283" s="143" t="s">
        <v>3455</v>
      </c>
      <c r="H1283" s="142" t="s">
        <v>3456</v>
      </c>
      <c r="I1283" s="143" t="s">
        <v>2847</v>
      </c>
      <c r="J1283" s="142" t="s">
        <v>3457</v>
      </c>
      <c r="K1283" s="142"/>
      <c r="L1283" s="142"/>
      <c r="M1283" s="142"/>
      <c r="N1283" s="12" t="s">
        <v>2992</v>
      </c>
      <c r="O1283" s="12" t="s">
        <v>2731</v>
      </c>
      <c r="P1283" s="13" t="str">
        <f t="shared" si="20"/>
        <v>日本の歴史の中の亀山／現代の亀山／教育と医療・福祉／保育園</v>
      </c>
      <c r="Q1283" s="158"/>
      <c r="R1283" s="142" t="s">
        <v>3458</v>
      </c>
    </row>
    <row r="1284" spans="1:18" s="139" customFormat="1" ht="29.25" customHeight="1" x14ac:dyDescent="0.15">
      <c r="A1284" s="142" t="s">
        <v>2375</v>
      </c>
      <c r="B1284" s="142">
        <v>20</v>
      </c>
      <c r="C1284" s="143" t="s">
        <v>3450</v>
      </c>
      <c r="D1284" s="143">
        <v>1966</v>
      </c>
      <c r="E1284" s="144" t="s">
        <v>20</v>
      </c>
      <c r="F1284" s="143"/>
      <c r="G1284" s="143" t="s">
        <v>3459</v>
      </c>
      <c r="H1284" s="142" t="s">
        <v>464</v>
      </c>
      <c r="I1284" s="143" t="s">
        <v>3433</v>
      </c>
      <c r="J1284" s="142" t="s">
        <v>3460</v>
      </c>
      <c r="K1284" s="142"/>
      <c r="L1284" s="142"/>
      <c r="M1284" s="142"/>
      <c r="N1284" s="12"/>
      <c r="O1284" s="12" t="e">
        <v>#VALUE!</v>
      </c>
      <c r="P1284" s="13" t="str">
        <f t="shared" si="20"/>
        <v/>
      </c>
      <c r="Q1284" s="158"/>
      <c r="R1284" s="142" t="s">
        <v>3422</v>
      </c>
    </row>
    <row r="1285" spans="1:18" s="139" customFormat="1" ht="29.25" customHeight="1" x14ac:dyDescent="0.15">
      <c r="A1285" s="142" t="s">
        <v>2375</v>
      </c>
      <c r="B1285" s="142">
        <v>20</v>
      </c>
      <c r="C1285" s="143" t="s">
        <v>3450</v>
      </c>
      <c r="D1285" s="143">
        <v>1966</v>
      </c>
      <c r="E1285" s="144" t="s">
        <v>20</v>
      </c>
      <c r="F1285" s="143"/>
      <c r="G1285" s="143" t="s">
        <v>3461</v>
      </c>
      <c r="H1285" s="142" t="s">
        <v>250</v>
      </c>
      <c r="I1285" s="143" t="s">
        <v>3462</v>
      </c>
      <c r="J1285" s="142" t="s">
        <v>3463</v>
      </c>
      <c r="K1285" s="142"/>
      <c r="L1285" s="142"/>
      <c r="M1285" s="142"/>
      <c r="N1285" s="12"/>
      <c r="O1285" s="12" t="e">
        <v>#VALUE!</v>
      </c>
      <c r="P1285" s="13" t="str">
        <f t="shared" ref="P1285:P1348" si="21">IFERROR(HYPERLINK(O1285,N1285),"")</f>
        <v/>
      </c>
      <c r="Q1285" s="158"/>
      <c r="R1285" s="142" t="s">
        <v>3422</v>
      </c>
    </row>
    <row r="1286" spans="1:18" s="139" customFormat="1" ht="29.25" customHeight="1" x14ac:dyDescent="0.15">
      <c r="A1286" s="142" t="s">
        <v>2375</v>
      </c>
      <c r="B1286" s="142">
        <v>20</v>
      </c>
      <c r="C1286" s="143" t="s">
        <v>3450</v>
      </c>
      <c r="D1286" s="143">
        <v>1966</v>
      </c>
      <c r="E1286" s="144" t="s">
        <v>20</v>
      </c>
      <c r="F1286" s="143"/>
      <c r="G1286" s="143" t="s">
        <v>3464</v>
      </c>
      <c r="H1286" s="142"/>
      <c r="I1286" s="143"/>
      <c r="J1286" s="142"/>
      <c r="K1286" s="142"/>
      <c r="L1286" s="142"/>
      <c r="M1286" s="142"/>
      <c r="N1286" s="12"/>
      <c r="O1286" s="12" t="e">
        <v>#VALUE!</v>
      </c>
      <c r="P1286" s="13" t="str">
        <f t="shared" si="21"/>
        <v/>
      </c>
      <c r="Q1286" s="158"/>
      <c r="R1286" s="142" t="s">
        <v>3422</v>
      </c>
    </row>
    <row r="1287" spans="1:18" s="139" customFormat="1" ht="28.35" customHeight="1" x14ac:dyDescent="0.15">
      <c r="A1287" s="142" t="s">
        <v>2375</v>
      </c>
      <c r="B1287" s="142">
        <v>20</v>
      </c>
      <c r="C1287" s="143" t="s">
        <v>3450</v>
      </c>
      <c r="D1287" s="143">
        <v>1966</v>
      </c>
      <c r="E1287" s="144" t="s">
        <v>34</v>
      </c>
      <c r="F1287" s="143"/>
      <c r="G1287" s="143" t="s">
        <v>3465</v>
      </c>
      <c r="H1287" s="142" t="s">
        <v>464</v>
      </c>
      <c r="I1287" s="143"/>
      <c r="J1287" s="142"/>
      <c r="K1287" s="142"/>
      <c r="L1287" s="142"/>
      <c r="M1287" s="142"/>
      <c r="N1287" s="12"/>
      <c r="O1287" s="12" t="e">
        <v>#VALUE!</v>
      </c>
      <c r="P1287" s="13" t="str">
        <f t="shared" si="21"/>
        <v/>
      </c>
      <c r="Q1287" s="158"/>
      <c r="R1287" s="142" t="s">
        <v>3422</v>
      </c>
    </row>
    <row r="1288" spans="1:18" s="139" customFormat="1" ht="28.5" customHeight="1" x14ac:dyDescent="0.15">
      <c r="A1288" s="142" t="s">
        <v>2375</v>
      </c>
      <c r="B1288" s="142">
        <v>20</v>
      </c>
      <c r="C1288" s="143" t="s">
        <v>3450</v>
      </c>
      <c r="D1288" s="143">
        <v>1966</v>
      </c>
      <c r="E1288" s="144" t="s">
        <v>20</v>
      </c>
      <c r="F1288" s="143"/>
      <c r="G1288" s="143" t="s">
        <v>3466</v>
      </c>
      <c r="H1288" s="142" t="s">
        <v>464</v>
      </c>
      <c r="I1288" s="143" t="s">
        <v>3467</v>
      </c>
      <c r="J1288" s="142" t="s">
        <v>3468</v>
      </c>
      <c r="K1288" s="142"/>
      <c r="L1288" s="142"/>
      <c r="M1288" s="142"/>
      <c r="N1288" s="12"/>
      <c r="O1288" s="12" t="e">
        <v>#VALUE!</v>
      </c>
      <c r="P1288" s="13" t="str">
        <f t="shared" si="21"/>
        <v/>
      </c>
      <c r="Q1288" s="158"/>
      <c r="R1288" s="142" t="s">
        <v>3469</v>
      </c>
    </row>
    <row r="1289" spans="1:18" s="139" customFormat="1" ht="55.5" customHeight="1" x14ac:dyDescent="0.15">
      <c r="A1289" s="142" t="s">
        <v>2375</v>
      </c>
      <c r="B1289" s="142">
        <v>20</v>
      </c>
      <c r="C1289" s="143" t="s">
        <v>3450</v>
      </c>
      <c r="D1289" s="143">
        <v>1966</v>
      </c>
      <c r="E1289" s="144" t="s">
        <v>20</v>
      </c>
      <c r="F1289" s="143"/>
      <c r="G1289" s="143" t="s">
        <v>3470</v>
      </c>
      <c r="H1289" s="142"/>
      <c r="I1289" s="143"/>
      <c r="J1289" s="142"/>
      <c r="K1289" s="142"/>
      <c r="L1289" s="142"/>
      <c r="M1289" s="142"/>
      <c r="N1289" s="12"/>
      <c r="O1289" s="12" t="e">
        <v>#VALUE!</v>
      </c>
      <c r="P1289" s="13" t="str">
        <f t="shared" si="21"/>
        <v/>
      </c>
      <c r="Q1289" s="158"/>
      <c r="R1289" s="142" t="s">
        <v>3422</v>
      </c>
    </row>
    <row r="1290" spans="1:18" s="139" customFormat="1" ht="28.5" customHeight="1" x14ac:dyDescent="0.15">
      <c r="A1290" s="142" t="s">
        <v>2375</v>
      </c>
      <c r="B1290" s="142">
        <v>20</v>
      </c>
      <c r="C1290" s="143" t="s">
        <v>3450</v>
      </c>
      <c r="D1290" s="143">
        <v>1966</v>
      </c>
      <c r="E1290" s="144" t="s">
        <v>20</v>
      </c>
      <c r="F1290" s="143"/>
      <c r="G1290" s="143" t="s">
        <v>3471</v>
      </c>
      <c r="H1290" s="142" t="s">
        <v>250</v>
      </c>
      <c r="I1290" s="143" t="s">
        <v>2247</v>
      </c>
      <c r="J1290" s="142" t="s">
        <v>3472</v>
      </c>
      <c r="K1290" s="142"/>
      <c r="L1290" s="142"/>
      <c r="M1290" s="142"/>
      <c r="N1290" s="12" t="s">
        <v>3473</v>
      </c>
      <c r="O1290" s="12" t="s">
        <v>3335</v>
      </c>
      <c r="P1290" s="13" t="str">
        <f t="shared" si="21"/>
        <v>学校のあゆみ／亀山東小学校のれきし</v>
      </c>
      <c r="Q1290" s="158"/>
      <c r="R1290" s="142" t="s">
        <v>3474</v>
      </c>
    </row>
    <row r="1291" spans="1:18" s="139" customFormat="1" ht="55.5" customHeight="1" x14ac:dyDescent="0.15">
      <c r="A1291" s="142" t="s">
        <v>2375</v>
      </c>
      <c r="B1291" s="142">
        <v>20</v>
      </c>
      <c r="C1291" s="143" t="s">
        <v>3450</v>
      </c>
      <c r="D1291" s="143">
        <v>1966</v>
      </c>
      <c r="E1291" s="144" t="s">
        <v>20</v>
      </c>
      <c r="F1291" s="143"/>
      <c r="G1291" s="143" t="s">
        <v>3475</v>
      </c>
      <c r="H1291" s="142" t="s">
        <v>199</v>
      </c>
      <c r="I1291" s="143"/>
      <c r="J1291" s="142" t="s">
        <v>3476</v>
      </c>
      <c r="K1291" s="142"/>
      <c r="L1291" s="142"/>
      <c r="M1291" s="142"/>
      <c r="N1291" s="12" t="s">
        <v>3034</v>
      </c>
      <c r="O1291" s="12" t="s">
        <v>3035</v>
      </c>
      <c r="P1291" s="13" t="str">
        <f t="shared" si="21"/>
        <v>日本の歴史の中の亀山／現代の亀山／行政と政治／水道</v>
      </c>
      <c r="Q1291" s="158"/>
      <c r="R1291" s="142" t="s">
        <v>2462</v>
      </c>
    </row>
    <row r="1292" spans="1:18" s="139" customFormat="1" ht="28.5" customHeight="1" x14ac:dyDescent="0.15">
      <c r="A1292" s="142" t="s">
        <v>2375</v>
      </c>
      <c r="B1292" s="142">
        <v>20</v>
      </c>
      <c r="C1292" s="143" t="s">
        <v>3450</v>
      </c>
      <c r="D1292" s="143">
        <v>1966</v>
      </c>
      <c r="E1292" s="144" t="s">
        <v>20</v>
      </c>
      <c r="F1292" s="143"/>
      <c r="G1292" s="143" t="s">
        <v>3477</v>
      </c>
      <c r="H1292" s="142" t="s">
        <v>1336</v>
      </c>
      <c r="I1292" s="143" t="s">
        <v>2393</v>
      </c>
      <c r="J1292" s="142" t="s">
        <v>3478</v>
      </c>
      <c r="K1292" s="142"/>
      <c r="L1292" s="142"/>
      <c r="M1292" s="142"/>
      <c r="N1292" s="12"/>
      <c r="O1292" s="12" t="e">
        <v>#VALUE!</v>
      </c>
      <c r="P1292" s="13" t="str">
        <f t="shared" si="21"/>
        <v/>
      </c>
      <c r="Q1292" s="158"/>
      <c r="R1292" s="142" t="s">
        <v>2462</v>
      </c>
    </row>
    <row r="1293" spans="1:18" s="139" customFormat="1" ht="48" customHeight="1" x14ac:dyDescent="0.15">
      <c r="A1293" s="142" t="s">
        <v>2375</v>
      </c>
      <c r="B1293" s="142">
        <v>20</v>
      </c>
      <c r="C1293" s="143" t="s">
        <v>3479</v>
      </c>
      <c r="D1293" s="143">
        <v>1966</v>
      </c>
      <c r="E1293" s="144" t="s">
        <v>34</v>
      </c>
      <c r="F1293" s="143"/>
      <c r="G1293" s="143" t="s">
        <v>3480</v>
      </c>
      <c r="H1293" s="142" t="s">
        <v>2396</v>
      </c>
      <c r="I1293" s="143" t="s">
        <v>2475</v>
      </c>
      <c r="J1293" s="142" t="s">
        <v>3481</v>
      </c>
      <c r="K1293" s="142"/>
      <c r="L1293" s="142"/>
      <c r="M1293" s="142"/>
      <c r="N1293" s="23"/>
      <c r="O1293" s="23" t="e">
        <v>#VALUE!</v>
      </c>
      <c r="P1293" s="24" t="str">
        <f t="shared" si="21"/>
        <v/>
      </c>
      <c r="Q1293" s="25" t="str">
        <f>HYPERLINK("http:/kameyamarekihaku.jp/sisi/RekisiHP/kingendai/quiz/meisho.kyuusho/meishou.html","市史近代・現代ページ 遺跡・名勝クイズ")</f>
        <v>市史近代・現代ページ 遺跡・名勝クイズ</v>
      </c>
      <c r="R1293" s="142" t="s">
        <v>2451</v>
      </c>
    </row>
    <row r="1294" spans="1:18" s="139" customFormat="1" x14ac:dyDescent="0.15">
      <c r="A1294" s="142" t="s">
        <v>2375</v>
      </c>
      <c r="B1294" s="142">
        <v>20</v>
      </c>
      <c r="C1294" s="143" t="s">
        <v>3479</v>
      </c>
      <c r="D1294" s="143">
        <v>1966</v>
      </c>
      <c r="E1294" s="144" t="s">
        <v>20</v>
      </c>
      <c r="F1294" s="143"/>
      <c r="G1294" s="143" t="s">
        <v>3482</v>
      </c>
      <c r="H1294" s="142"/>
      <c r="I1294" s="143"/>
      <c r="J1294" s="142"/>
      <c r="K1294" s="142"/>
      <c r="L1294" s="142"/>
      <c r="M1294" s="142"/>
      <c r="N1294" s="12"/>
      <c r="O1294" s="12" t="e">
        <v>#VALUE!</v>
      </c>
      <c r="P1294" s="13" t="str">
        <f t="shared" si="21"/>
        <v/>
      </c>
      <c r="Q1294" s="158"/>
      <c r="R1294" s="142" t="s">
        <v>2371</v>
      </c>
    </row>
    <row r="1295" spans="1:18" s="139" customFormat="1" ht="29.25" customHeight="1" x14ac:dyDescent="0.15">
      <c r="A1295" s="142" t="s">
        <v>2941</v>
      </c>
      <c r="B1295" s="142">
        <v>20</v>
      </c>
      <c r="C1295" s="143" t="s">
        <v>3483</v>
      </c>
      <c r="D1295" s="143">
        <v>1967</v>
      </c>
      <c r="E1295" s="144" t="s">
        <v>20</v>
      </c>
      <c r="F1295" s="143"/>
      <c r="G1295" s="143" t="s">
        <v>3484</v>
      </c>
      <c r="H1295" s="120"/>
      <c r="I1295" s="175"/>
      <c r="J1295" s="120"/>
      <c r="K1295" s="142"/>
      <c r="L1295" s="142"/>
      <c r="M1295" s="142"/>
      <c r="N1295" s="12" t="s">
        <v>3034</v>
      </c>
      <c r="O1295" s="12" t="s">
        <v>3035</v>
      </c>
      <c r="P1295" s="13" t="str">
        <f t="shared" si="21"/>
        <v>日本の歴史の中の亀山／現代の亀山／行政と政治／水道</v>
      </c>
      <c r="Q1295" s="192"/>
      <c r="R1295" s="142" t="s">
        <v>2936</v>
      </c>
    </row>
    <row r="1296" spans="1:18" s="139" customFormat="1" ht="43.5" customHeight="1" x14ac:dyDescent="0.15">
      <c r="A1296" s="142" t="s">
        <v>2941</v>
      </c>
      <c r="B1296" s="142">
        <v>20</v>
      </c>
      <c r="C1296" s="143" t="s">
        <v>3483</v>
      </c>
      <c r="D1296" s="143">
        <v>1967</v>
      </c>
      <c r="E1296" s="144" t="s">
        <v>20</v>
      </c>
      <c r="F1296" s="143"/>
      <c r="G1296" s="143" t="s">
        <v>3485</v>
      </c>
      <c r="H1296" s="120" t="s">
        <v>250</v>
      </c>
      <c r="I1296" s="175" t="s">
        <v>2247</v>
      </c>
      <c r="J1296" s="120" t="s">
        <v>3486</v>
      </c>
      <c r="K1296" s="142"/>
      <c r="L1296" s="142"/>
      <c r="M1296" s="142"/>
      <c r="N1296" s="12" t="s">
        <v>3487</v>
      </c>
      <c r="O1296" s="12" t="s">
        <v>2421</v>
      </c>
      <c r="P1296" s="13" t="str">
        <f t="shared" si="21"/>
        <v>日本の歴史の中の亀山／現代の亀山／教育と医療・福祉／幼稚園</v>
      </c>
      <c r="Q1296" s="192"/>
      <c r="R1296" s="142" t="s">
        <v>3488</v>
      </c>
    </row>
    <row r="1297" spans="1:18" s="139" customFormat="1" ht="15" customHeight="1" x14ac:dyDescent="0.15">
      <c r="A1297" s="142" t="s">
        <v>2375</v>
      </c>
      <c r="B1297" s="142">
        <v>20</v>
      </c>
      <c r="C1297" s="143" t="s">
        <v>3483</v>
      </c>
      <c r="D1297" s="143">
        <v>1967</v>
      </c>
      <c r="E1297" s="144" t="s">
        <v>20</v>
      </c>
      <c r="F1297" s="143"/>
      <c r="G1297" s="143" t="s">
        <v>3489</v>
      </c>
      <c r="H1297" s="120" t="s">
        <v>464</v>
      </c>
      <c r="I1297" s="175" t="s">
        <v>947</v>
      </c>
      <c r="J1297" s="120" t="s">
        <v>3490</v>
      </c>
      <c r="K1297" s="142"/>
      <c r="L1297" s="142"/>
      <c r="M1297" s="142"/>
      <c r="N1297" s="12"/>
      <c r="O1297" s="12" t="e">
        <v>#VALUE!</v>
      </c>
      <c r="P1297" s="13" t="str">
        <f t="shared" si="21"/>
        <v/>
      </c>
      <c r="Q1297" s="192"/>
      <c r="R1297" s="142" t="s">
        <v>3491</v>
      </c>
    </row>
    <row r="1298" spans="1:18" s="139" customFormat="1" ht="28.5" customHeight="1" x14ac:dyDescent="0.15">
      <c r="A1298" s="142" t="s">
        <v>2375</v>
      </c>
      <c r="B1298" s="142">
        <v>20</v>
      </c>
      <c r="C1298" s="143" t="s">
        <v>3483</v>
      </c>
      <c r="D1298" s="143">
        <v>1967</v>
      </c>
      <c r="E1298" s="144" t="s">
        <v>20</v>
      </c>
      <c r="F1298" s="143"/>
      <c r="G1298" s="143" t="s">
        <v>3492</v>
      </c>
      <c r="H1298" s="120" t="s">
        <v>199</v>
      </c>
      <c r="I1298" s="175" t="s">
        <v>2593</v>
      </c>
      <c r="J1298" s="120" t="s">
        <v>3493</v>
      </c>
      <c r="K1298" s="142"/>
      <c r="L1298" s="142"/>
      <c r="M1298" s="142"/>
      <c r="N1298" s="12"/>
      <c r="O1298" s="12" t="e">
        <v>#VALUE!</v>
      </c>
      <c r="P1298" s="13" t="str">
        <f t="shared" si="21"/>
        <v/>
      </c>
      <c r="Q1298" s="192"/>
      <c r="R1298" s="142" t="s">
        <v>2371</v>
      </c>
    </row>
    <row r="1299" spans="1:18" s="139" customFormat="1" ht="36.75" customHeight="1" x14ac:dyDescent="0.15">
      <c r="A1299" s="142" t="s">
        <v>2375</v>
      </c>
      <c r="B1299" s="142">
        <v>20</v>
      </c>
      <c r="C1299" s="143" t="s">
        <v>3494</v>
      </c>
      <c r="D1299" s="143">
        <v>1967</v>
      </c>
      <c r="E1299" s="144" t="s">
        <v>20</v>
      </c>
      <c r="F1299" s="143"/>
      <c r="G1299" s="143" t="s">
        <v>3495</v>
      </c>
      <c r="H1299" s="120" t="s">
        <v>199</v>
      </c>
      <c r="I1299" s="175" t="s">
        <v>2689</v>
      </c>
      <c r="J1299" s="120" t="s">
        <v>3496</v>
      </c>
      <c r="K1299" s="142"/>
      <c r="L1299" s="142"/>
      <c r="M1299" s="142"/>
      <c r="N1299" s="12" t="s">
        <v>2992</v>
      </c>
      <c r="O1299" s="12" t="s">
        <v>2731</v>
      </c>
      <c r="P1299" s="13" t="str">
        <f t="shared" si="21"/>
        <v>日本の歴史の中の亀山／現代の亀山／教育と医療・福祉／保育園</v>
      </c>
      <c r="Q1299" s="192"/>
      <c r="R1299" s="142" t="s">
        <v>2371</v>
      </c>
    </row>
    <row r="1300" spans="1:18" s="139" customFormat="1" ht="28.5" customHeight="1" x14ac:dyDescent="0.15">
      <c r="A1300" s="142" t="s">
        <v>2375</v>
      </c>
      <c r="B1300" s="142">
        <v>20</v>
      </c>
      <c r="C1300" s="143" t="s">
        <v>3494</v>
      </c>
      <c r="D1300" s="143">
        <v>1967</v>
      </c>
      <c r="E1300" s="144" t="s">
        <v>20</v>
      </c>
      <c r="F1300" s="143"/>
      <c r="G1300" s="143" t="s">
        <v>3497</v>
      </c>
      <c r="H1300" s="120"/>
      <c r="I1300" s="175"/>
      <c r="J1300" s="120"/>
      <c r="K1300" s="142"/>
      <c r="L1300" s="142"/>
      <c r="M1300" s="142"/>
      <c r="N1300" s="12"/>
      <c r="O1300" s="12" t="e">
        <v>#VALUE!</v>
      </c>
      <c r="P1300" s="13" t="str">
        <f t="shared" si="21"/>
        <v/>
      </c>
      <c r="Q1300" s="192"/>
      <c r="R1300" s="142" t="s">
        <v>2371</v>
      </c>
    </row>
    <row r="1301" spans="1:18" s="139" customFormat="1" ht="28.5" customHeight="1" x14ac:dyDescent="0.15">
      <c r="A1301" s="142" t="s">
        <v>2375</v>
      </c>
      <c r="B1301" s="142">
        <v>20</v>
      </c>
      <c r="C1301" s="143" t="s">
        <v>3494</v>
      </c>
      <c r="D1301" s="143">
        <v>1967</v>
      </c>
      <c r="E1301" s="144" t="s">
        <v>20</v>
      </c>
      <c r="F1301" s="143"/>
      <c r="G1301" s="143" t="s">
        <v>3498</v>
      </c>
      <c r="H1301" s="120" t="s">
        <v>199</v>
      </c>
      <c r="I1301" s="175"/>
      <c r="J1301" s="120"/>
      <c r="K1301" s="142"/>
      <c r="L1301" s="142"/>
      <c r="M1301" s="142"/>
      <c r="N1301" s="12"/>
      <c r="O1301" s="12" t="e">
        <v>#VALUE!</v>
      </c>
      <c r="P1301" s="13" t="str">
        <f t="shared" si="21"/>
        <v/>
      </c>
      <c r="Q1301" s="192"/>
      <c r="R1301" s="142" t="s">
        <v>2371</v>
      </c>
    </row>
    <row r="1302" spans="1:18" s="139" customFormat="1" ht="56.25" customHeight="1" x14ac:dyDescent="0.15">
      <c r="A1302" s="142" t="s">
        <v>2375</v>
      </c>
      <c r="B1302" s="142">
        <v>20</v>
      </c>
      <c r="C1302" s="143" t="s">
        <v>3494</v>
      </c>
      <c r="D1302" s="143">
        <v>1967</v>
      </c>
      <c r="E1302" s="144" t="s">
        <v>20</v>
      </c>
      <c r="F1302" s="143"/>
      <c r="G1302" s="143" t="s">
        <v>3499</v>
      </c>
      <c r="H1302" s="120" t="s">
        <v>1336</v>
      </c>
      <c r="I1302" s="175" t="s">
        <v>787</v>
      </c>
      <c r="J1302" s="120"/>
      <c r="K1302" s="142"/>
      <c r="L1302" s="142"/>
      <c r="M1302" s="142"/>
      <c r="N1302" s="12"/>
      <c r="O1302" s="12" t="e">
        <v>#VALUE!</v>
      </c>
      <c r="P1302" s="13" t="str">
        <f t="shared" si="21"/>
        <v/>
      </c>
      <c r="Q1302" s="192"/>
      <c r="R1302" s="142" t="s">
        <v>2371</v>
      </c>
    </row>
    <row r="1303" spans="1:18" s="139" customFormat="1" ht="28.5" customHeight="1" x14ac:dyDescent="0.15">
      <c r="A1303" s="142" t="s">
        <v>2375</v>
      </c>
      <c r="B1303" s="142">
        <v>20</v>
      </c>
      <c r="C1303" s="143" t="s">
        <v>3483</v>
      </c>
      <c r="D1303" s="143">
        <v>1967</v>
      </c>
      <c r="E1303" s="144" t="s">
        <v>20</v>
      </c>
      <c r="F1303" s="143"/>
      <c r="G1303" s="143" t="s">
        <v>3500</v>
      </c>
      <c r="H1303" s="120" t="s">
        <v>2396</v>
      </c>
      <c r="I1303" s="175"/>
      <c r="J1303" s="120"/>
      <c r="K1303" s="142"/>
      <c r="L1303" s="142"/>
      <c r="M1303" s="142"/>
      <c r="N1303" s="12"/>
      <c r="O1303" s="12" t="e">
        <v>#VALUE!</v>
      </c>
      <c r="P1303" s="13" t="str">
        <f t="shared" si="21"/>
        <v/>
      </c>
      <c r="Q1303" s="192"/>
      <c r="R1303" s="142" t="s">
        <v>2371</v>
      </c>
    </row>
    <row r="1304" spans="1:18" s="139" customFormat="1" ht="15" customHeight="1" x14ac:dyDescent="0.15">
      <c r="A1304" s="142" t="s">
        <v>2375</v>
      </c>
      <c r="B1304" s="142">
        <v>20</v>
      </c>
      <c r="C1304" s="143" t="s">
        <v>3483</v>
      </c>
      <c r="D1304" s="143">
        <v>1967</v>
      </c>
      <c r="E1304" s="144" t="s">
        <v>20</v>
      </c>
      <c r="F1304" s="143"/>
      <c r="G1304" s="143" t="s">
        <v>3501</v>
      </c>
      <c r="H1304" s="120"/>
      <c r="I1304" s="175"/>
      <c r="J1304" s="120"/>
      <c r="K1304" s="142"/>
      <c r="L1304" s="142"/>
      <c r="M1304" s="142"/>
      <c r="N1304" s="12"/>
      <c r="O1304" s="12" t="e">
        <v>#VALUE!</v>
      </c>
      <c r="P1304" s="13" t="str">
        <f t="shared" si="21"/>
        <v/>
      </c>
      <c r="Q1304" s="192"/>
      <c r="R1304" s="142" t="s">
        <v>2371</v>
      </c>
    </row>
    <row r="1305" spans="1:18" s="139" customFormat="1" ht="29.1" customHeight="1" x14ac:dyDescent="0.15">
      <c r="A1305" s="142" t="s">
        <v>2375</v>
      </c>
      <c r="B1305" s="142">
        <v>20</v>
      </c>
      <c r="C1305" s="143" t="s">
        <v>3483</v>
      </c>
      <c r="D1305" s="143">
        <v>1967</v>
      </c>
      <c r="E1305" s="144" t="s">
        <v>20</v>
      </c>
      <c r="F1305" s="143"/>
      <c r="G1305" s="143" t="s">
        <v>3502</v>
      </c>
      <c r="H1305" s="120" t="s">
        <v>199</v>
      </c>
      <c r="I1305" s="175" t="s">
        <v>2593</v>
      </c>
      <c r="J1305" s="120" t="s">
        <v>3503</v>
      </c>
      <c r="K1305" s="142"/>
      <c r="L1305" s="142"/>
      <c r="M1305" s="142"/>
      <c r="N1305" s="12"/>
      <c r="O1305" s="12" t="e">
        <v>#VALUE!</v>
      </c>
      <c r="P1305" s="13" t="str">
        <f t="shared" si="21"/>
        <v/>
      </c>
      <c r="Q1305" s="192"/>
      <c r="R1305" s="142" t="s">
        <v>2462</v>
      </c>
    </row>
    <row r="1306" spans="1:18" s="139" customFormat="1" ht="28.5" customHeight="1" x14ac:dyDescent="0.15">
      <c r="A1306" s="142" t="s">
        <v>2375</v>
      </c>
      <c r="B1306" s="142">
        <v>20</v>
      </c>
      <c r="C1306" s="143" t="s">
        <v>3494</v>
      </c>
      <c r="D1306" s="143">
        <v>1967</v>
      </c>
      <c r="E1306" s="144" t="s">
        <v>20</v>
      </c>
      <c r="F1306" s="143"/>
      <c r="G1306" s="143" t="s">
        <v>3504</v>
      </c>
      <c r="H1306" s="120" t="s">
        <v>199</v>
      </c>
      <c r="I1306" s="175"/>
      <c r="J1306" s="120"/>
      <c r="K1306" s="142"/>
      <c r="L1306" s="142"/>
      <c r="M1306" s="142"/>
      <c r="N1306" s="12" t="s">
        <v>2963</v>
      </c>
      <c r="O1306" s="12" t="s">
        <v>2356</v>
      </c>
      <c r="P1306" s="13" t="str">
        <f t="shared" si="21"/>
        <v>日本の歴史の中の亀山／現代の亀山／交通と通信／電話（電報電話局）</v>
      </c>
      <c r="Q1306" s="192"/>
      <c r="R1306" s="142" t="s">
        <v>2462</v>
      </c>
    </row>
    <row r="1307" spans="1:18" s="139" customFormat="1" ht="28.15" customHeight="1" x14ac:dyDescent="0.15">
      <c r="A1307" s="142" t="s">
        <v>2375</v>
      </c>
      <c r="B1307" s="142">
        <v>20</v>
      </c>
      <c r="C1307" s="143" t="s">
        <v>3494</v>
      </c>
      <c r="D1307" s="143">
        <v>1967</v>
      </c>
      <c r="E1307" s="144" t="s">
        <v>20</v>
      </c>
      <c r="F1307" s="143"/>
      <c r="G1307" s="143" t="s">
        <v>3505</v>
      </c>
      <c r="H1307" s="120" t="s">
        <v>199</v>
      </c>
      <c r="I1307" s="175" t="s">
        <v>2475</v>
      </c>
      <c r="J1307" s="120" t="s">
        <v>3506</v>
      </c>
      <c r="K1307" s="142"/>
      <c r="L1307" s="142"/>
      <c r="M1307" s="142"/>
      <c r="N1307" s="12"/>
      <c r="O1307" s="12" t="e">
        <v>#VALUE!</v>
      </c>
      <c r="P1307" s="13" t="str">
        <f t="shared" si="21"/>
        <v/>
      </c>
      <c r="Q1307" s="192"/>
      <c r="R1307" s="142" t="s">
        <v>2462</v>
      </c>
    </row>
    <row r="1308" spans="1:18" s="139" customFormat="1" ht="36.75" customHeight="1" x14ac:dyDescent="0.15">
      <c r="A1308" s="142" t="s">
        <v>2375</v>
      </c>
      <c r="B1308" s="142">
        <v>20</v>
      </c>
      <c r="C1308" s="143" t="s">
        <v>3494</v>
      </c>
      <c r="D1308" s="143">
        <v>1967</v>
      </c>
      <c r="E1308" s="144" t="s">
        <v>20</v>
      </c>
      <c r="F1308" s="143"/>
      <c r="G1308" s="143" t="s">
        <v>3507</v>
      </c>
      <c r="H1308" s="120" t="s">
        <v>199</v>
      </c>
      <c r="I1308" s="175" t="s">
        <v>2367</v>
      </c>
      <c r="J1308" s="120" t="s">
        <v>3508</v>
      </c>
      <c r="K1308" s="142"/>
      <c r="L1308" s="142"/>
      <c r="M1308" s="25" t="str">
        <f>HYPERLINK("http://kameyamarekihaku.jp/sisi/MinzokuHP/jirei/bunrui10/data10-2/gi.htm?pf=P1010080-1.JPG&amp;pn=%E6%9C%A8%E5%B4%8E%E3%81%AE%E5%B1%B1%E8%BB%8A","現在の木崎の山車")</f>
        <v>現在の木崎の山車</v>
      </c>
      <c r="N1308" s="12" t="s">
        <v>3509</v>
      </c>
      <c r="O1308" s="12" t="s">
        <v>3510</v>
      </c>
      <c r="P1308" s="13" t="str">
        <f t="shared" si="21"/>
        <v>亀山のいいとこさがし／人々がつたえてきたこと／踊りや唄／関の山車</v>
      </c>
      <c r="Q1308" s="192"/>
      <c r="R1308" s="142" t="s">
        <v>2371</v>
      </c>
    </row>
    <row r="1309" spans="1:18" s="139" customFormat="1" ht="15" customHeight="1" x14ac:dyDescent="0.15">
      <c r="A1309" s="142" t="s">
        <v>2375</v>
      </c>
      <c r="B1309" s="142">
        <v>20</v>
      </c>
      <c r="C1309" s="143" t="s">
        <v>3511</v>
      </c>
      <c r="D1309" s="143">
        <v>1968</v>
      </c>
      <c r="E1309" s="144" t="s">
        <v>59</v>
      </c>
      <c r="F1309" s="143" t="s">
        <v>3512</v>
      </c>
      <c r="G1309" s="143"/>
      <c r="H1309" s="142"/>
      <c r="I1309" s="143"/>
      <c r="J1309" s="142"/>
      <c r="K1309" s="142"/>
      <c r="L1309" s="142"/>
      <c r="M1309" s="142"/>
      <c r="N1309" s="12"/>
      <c r="O1309" s="12" t="e">
        <v>#VALUE!</v>
      </c>
      <c r="P1309" s="13" t="str">
        <f t="shared" si="21"/>
        <v/>
      </c>
      <c r="Q1309" s="158"/>
      <c r="R1309" s="142"/>
    </row>
    <row r="1310" spans="1:18" s="139" customFormat="1" ht="15" customHeight="1" x14ac:dyDescent="0.15">
      <c r="A1310" s="142" t="s">
        <v>2375</v>
      </c>
      <c r="B1310" s="142">
        <v>20</v>
      </c>
      <c r="C1310" s="143" t="s">
        <v>3511</v>
      </c>
      <c r="D1310" s="143">
        <v>1968</v>
      </c>
      <c r="E1310" s="144" t="s">
        <v>20</v>
      </c>
      <c r="F1310" s="143" t="s">
        <v>3513</v>
      </c>
      <c r="G1310" s="143"/>
      <c r="H1310" s="142"/>
      <c r="I1310" s="143"/>
      <c r="J1310" s="142"/>
      <c r="K1310" s="142"/>
      <c r="L1310" s="142"/>
      <c r="M1310" s="142"/>
      <c r="N1310" s="12"/>
      <c r="O1310" s="12" t="e">
        <v>#VALUE!</v>
      </c>
      <c r="P1310" s="13" t="str">
        <f t="shared" si="21"/>
        <v/>
      </c>
      <c r="Q1310" s="158"/>
      <c r="R1310" s="142"/>
    </row>
    <row r="1311" spans="1:18" s="139" customFormat="1" ht="28.5" customHeight="1" x14ac:dyDescent="0.15">
      <c r="A1311" s="142" t="s">
        <v>2375</v>
      </c>
      <c r="B1311" s="142">
        <v>20</v>
      </c>
      <c r="C1311" s="143" t="s">
        <v>3511</v>
      </c>
      <c r="D1311" s="143">
        <v>1968</v>
      </c>
      <c r="E1311" s="144" t="s">
        <v>20</v>
      </c>
      <c r="F1311" s="143"/>
      <c r="G1311" s="143" t="s">
        <v>3514</v>
      </c>
      <c r="H1311" s="142"/>
      <c r="I1311" s="143"/>
      <c r="J1311" s="142"/>
      <c r="K1311" s="142"/>
      <c r="L1311" s="142"/>
      <c r="M1311" s="142"/>
      <c r="N1311" s="12"/>
      <c r="O1311" s="12" t="e">
        <v>#VALUE!</v>
      </c>
      <c r="P1311" s="13" t="str">
        <f t="shared" si="21"/>
        <v/>
      </c>
      <c r="Q1311" s="158"/>
      <c r="R1311" s="142" t="s">
        <v>3422</v>
      </c>
    </row>
    <row r="1312" spans="1:18" s="139" customFormat="1" ht="28.5" customHeight="1" x14ac:dyDescent="0.15">
      <c r="A1312" s="142" t="s">
        <v>2375</v>
      </c>
      <c r="B1312" s="142">
        <v>20</v>
      </c>
      <c r="C1312" s="143" t="s">
        <v>3511</v>
      </c>
      <c r="D1312" s="143">
        <v>1968</v>
      </c>
      <c r="E1312" s="144" t="s">
        <v>20</v>
      </c>
      <c r="F1312" s="143"/>
      <c r="G1312" s="143" t="s">
        <v>3515</v>
      </c>
      <c r="H1312" s="142"/>
      <c r="I1312" s="143"/>
      <c r="J1312" s="142"/>
      <c r="K1312" s="142"/>
      <c r="L1312" s="142"/>
      <c r="M1312" s="142"/>
      <c r="N1312" s="12"/>
      <c r="O1312" s="12" t="e">
        <v>#VALUE!</v>
      </c>
      <c r="P1312" s="13" t="str">
        <f t="shared" si="21"/>
        <v/>
      </c>
      <c r="Q1312" s="158"/>
      <c r="R1312" s="142" t="s">
        <v>3422</v>
      </c>
    </row>
    <row r="1313" spans="1:18" s="139" customFormat="1" ht="28.5" customHeight="1" x14ac:dyDescent="0.15">
      <c r="A1313" s="142" t="s">
        <v>2375</v>
      </c>
      <c r="B1313" s="142">
        <v>20</v>
      </c>
      <c r="C1313" s="143" t="s">
        <v>3511</v>
      </c>
      <c r="D1313" s="143">
        <v>1968</v>
      </c>
      <c r="E1313" s="144" t="s">
        <v>20</v>
      </c>
      <c r="F1313" s="143"/>
      <c r="G1313" s="143" t="s">
        <v>3516</v>
      </c>
      <c r="H1313" s="142"/>
      <c r="I1313" s="143"/>
      <c r="J1313" s="142"/>
      <c r="K1313" s="142"/>
      <c r="L1313" s="142"/>
      <c r="M1313" s="142"/>
      <c r="N1313" s="12" t="s">
        <v>2355</v>
      </c>
      <c r="O1313" s="12" t="s">
        <v>2356</v>
      </c>
      <c r="P1313" s="13" t="str">
        <f t="shared" si="21"/>
        <v>日本の歴史の中の亀山／現代の亀山／交通と通信／電話（電報電話局）</v>
      </c>
      <c r="Q1313" s="158"/>
      <c r="R1313" s="142" t="s">
        <v>3422</v>
      </c>
    </row>
    <row r="1314" spans="1:18" s="139" customFormat="1" ht="28.5" customHeight="1" x14ac:dyDescent="0.15">
      <c r="A1314" s="142" t="s">
        <v>2375</v>
      </c>
      <c r="B1314" s="142">
        <v>20</v>
      </c>
      <c r="C1314" s="143" t="s">
        <v>3511</v>
      </c>
      <c r="D1314" s="143">
        <v>1968</v>
      </c>
      <c r="E1314" s="144" t="s">
        <v>20</v>
      </c>
      <c r="F1314" s="143"/>
      <c r="G1314" s="143" t="s">
        <v>3517</v>
      </c>
      <c r="H1314" s="142" t="s">
        <v>250</v>
      </c>
      <c r="I1314" s="175" t="s">
        <v>1911</v>
      </c>
      <c r="J1314" s="142" t="s">
        <v>3518</v>
      </c>
      <c r="K1314" s="142"/>
      <c r="L1314" s="142"/>
      <c r="M1314" s="142"/>
      <c r="N1314" s="12"/>
      <c r="O1314" s="12" t="e">
        <v>#VALUE!</v>
      </c>
      <c r="P1314" s="13" t="str">
        <f t="shared" si="21"/>
        <v/>
      </c>
      <c r="Q1314" s="158"/>
      <c r="R1314" s="142" t="s">
        <v>3422</v>
      </c>
    </row>
    <row r="1315" spans="1:18" s="139" customFormat="1" ht="28.5" customHeight="1" x14ac:dyDescent="0.15">
      <c r="A1315" s="142" t="s">
        <v>2375</v>
      </c>
      <c r="B1315" s="142">
        <v>20</v>
      </c>
      <c r="C1315" s="143" t="s">
        <v>3511</v>
      </c>
      <c r="D1315" s="143">
        <v>1968</v>
      </c>
      <c r="E1315" s="144" t="s">
        <v>20</v>
      </c>
      <c r="F1315" s="143"/>
      <c r="G1315" s="143" t="s">
        <v>3519</v>
      </c>
      <c r="H1315" s="142"/>
      <c r="I1315" s="143"/>
      <c r="J1315" s="142"/>
      <c r="K1315" s="142"/>
      <c r="L1315" s="142"/>
      <c r="M1315" s="142"/>
      <c r="N1315" s="12"/>
      <c r="O1315" s="12" t="e">
        <v>#VALUE!</v>
      </c>
      <c r="P1315" s="13" t="str">
        <f t="shared" si="21"/>
        <v/>
      </c>
      <c r="Q1315" s="158"/>
      <c r="R1315" s="142" t="s">
        <v>3422</v>
      </c>
    </row>
    <row r="1316" spans="1:18" s="139" customFormat="1" ht="15" customHeight="1" x14ac:dyDescent="0.15">
      <c r="A1316" s="142" t="s">
        <v>2375</v>
      </c>
      <c r="B1316" s="142">
        <v>20</v>
      </c>
      <c r="C1316" s="143" t="s">
        <v>3511</v>
      </c>
      <c r="D1316" s="143">
        <v>1968</v>
      </c>
      <c r="E1316" s="144" t="s">
        <v>20</v>
      </c>
      <c r="F1316" s="143"/>
      <c r="G1316" s="143" t="s">
        <v>3520</v>
      </c>
      <c r="H1316" s="120" t="s">
        <v>199</v>
      </c>
      <c r="I1316" s="175" t="s">
        <v>2367</v>
      </c>
      <c r="J1316" s="142" t="s">
        <v>3521</v>
      </c>
      <c r="K1316" s="142"/>
      <c r="L1316" s="142"/>
      <c r="M1316" s="142"/>
      <c r="N1316" s="12"/>
      <c r="O1316" s="12" t="e">
        <v>#VALUE!</v>
      </c>
      <c r="P1316" s="13" t="str">
        <f t="shared" si="21"/>
        <v/>
      </c>
      <c r="Q1316" s="158"/>
      <c r="R1316" s="142" t="s">
        <v>2371</v>
      </c>
    </row>
    <row r="1317" spans="1:18" s="139" customFormat="1" ht="15" customHeight="1" x14ac:dyDescent="0.15">
      <c r="A1317" s="142" t="s">
        <v>2375</v>
      </c>
      <c r="B1317" s="142">
        <v>20</v>
      </c>
      <c r="C1317" s="143" t="s">
        <v>3511</v>
      </c>
      <c r="D1317" s="143">
        <v>1968</v>
      </c>
      <c r="E1317" s="144" t="s">
        <v>20</v>
      </c>
      <c r="F1317" s="143"/>
      <c r="G1317" s="143" t="s">
        <v>3522</v>
      </c>
      <c r="H1317" s="120" t="s">
        <v>199</v>
      </c>
      <c r="I1317" s="175" t="s">
        <v>2367</v>
      </c>
      <c r="J1317" s="142"/>
      <c r="K1317" s="142"/>
      <c r="L1317" s="142"/>
      <c r="M1317" s="142"/>
      <c r="N1317" s="12"/>
      <c r="O1317" s="12" t="e">
        <v>#VALUE!</v>
      </c>
      <c r="P1317" s="13" t="str">
        <f t="shared" si="21"/>
        <v/>
      </c>
      <c r="Q1317" s="158"/>
      <c r="R1317" s="142" t="s">
        <v>2371</v>
      </c>
    </row>
    <row r="1318" spans="1:18" s="139" customFormat="1" ht="15" customHeight="1" x14ac:dyDescent="0.15">
      <c r="A1318" s="142" t="s">
        <v>2375</v>
      </c>
      <c r="B1318" s="142">
        <v>20</v>
      </c>
      <c r="C1318" s="143" t="s">
        <v>3511</v>
      </c>
      <c r="D1318" s="143">
        <v>1968</v>
      </c>
      <c r="E1318" s="144" t="s">
        <v>20</v>
      </c>
      <c r="F1318" s="143"/>
      <c r="G1318" s="143" t="s">
        <v>3523</v>
      </c>
      <c r="H1318" s="120" t="s">
        <v>199</v>
      </c>
      <c r="I1318" s="175"/>
      <c r="J1318" s="142"/>
      <c r="K1318" s="142"/>
      <c r="L1318" s="142"/>
      <c r="M1318" s="142"/>
      <c r="N1318" s="12"/>
      <c r="O1318" s="12" t="e">
        <v>#VALUE!</v>
      </c>
      <c r="P1318" s="13" t="str">
        <f t="shared" si="21"/>
        <v/>
      </c>
      <c r="Q1318" s="158"/>
      <c r="R1318" s="142" t="s">
        <v>2371</v>
      </c>
    </row>
    <row r="1319" spans="1:18" s="139" customFormat="1" ht="47.25" customHeight="1" x14ac:dyDescent="0.15">
      <c r="A1319" s="142" t="s">
        <v>2375</v>
      </c>
      <c r="B1319" s="142">
        <v>20</v>
      </c>
      <c r="C1319" s="143" t="s">
        <v>3511</v>
      </c>
      <c r="D1319" s="143">
        <v>1968</v>
      </c>
      <c r="E1319" s="144" t="s">
        <v>20</v>
      </c>
      <c r="F1319" s="143"/>
      <c r="G1319" s="143" t="s">
        <v>3524</v>
      </c>
      <c r="H1319" s="120" t="s">
        <v>199</v>
      </c>
      <c r="I1319" s="175" t="s">
        <v>2475</v>
      </c>
      <c r="J1319" s="142" t="s">
        <v>3525</v>
      </c>
      <c r="K1319" s="142"/>
      <c r="L1319" s="142"/>
      <c r="M1319" s="142"/>
      <c r="N1319" s="12" t="s">
        <v>3165</v>
      </c>
      <c r="O1319" s="12" t="s">
        <v>1975</v>
      </c>
      <c r="P1319" s="13" t="str">
        <f t="shared" si="21"/>
        <v>亀山のいいとこさがし／景色のよいところや歴史を知る手掛かりとなるもの／山／名勝</v>
      </c>
      <c r="Q1319" s="158"/>
      <c r="R1319" s="142" t="s">
        <v>2371</v>
      </c>
    </row>
    <row r="1320" spans="1:18" s="139" customFormat="1" ht="15" customHeight="1" x14ac:dyDescent="0.15">
      <c r="A1320" s="142" t="s">
        <v>2375</v>
      </c>
      <c r="B1320" s="142">
        <v>20</v>
      </c>
      <c r="C1320" s="143" t="s">
        <v>3511</v>
      </c>
      <c r="D1320" s="143">
        <v>1968</v>
      </c>
      <c r="E1320" s="144" t="s">
        <v>20</v>
      </c>
      <c r="F1320" s="143"/>
      <c r="G1320" s="143" t="s">
        <v>3526</v>
      </c>
      <c r="H1320" s="142" t="s">
        <v>1336</v>
      </c>
      <c r="I1320" s="143" t="s">
        <v>2393</v>
      </c>
      <c r="J1320" s="142" t="s">
        <v>3527</v>
      </c>
      <c r="K1320" s="142"/>
      <c r="L1320" s="142"/>
      <c r="M1320" s="142"/>
      <c r="N1320" s="12" t="s">
        <v>3528</v>
      </c>
      <c r="O1320" s="12" t="s">
        <v>2450</v>
      </c>
      <c r="P1320" s="13" t="str">
        <f t="shared" si="21"/>
        <v>学校のあゆみ／加太小学校のれきし</v>
      </c>
      <c r="Q1320" s="158"/>
      <c r="R1320" s="142" t="s">
        <v>2371</v>
      </c>
    </row>
    <row r="1321" spans="1:18" s="139" customFormat="1" ht="29.1" customHeight="1" x14ac:dyDescent="0.15">
      <c r="A1321" s="142" t="s">
        <v>2375</v>
      </c>
      <c r="B1321" s="142">
        <v>20</v>
      </c>
      <c r="C1321" s="143" t="s">
        <v>3511</v>
      </c>
      <c r="D1321" s="143">
        <v>1968</v>
      </c>
      <c r="E1321" s="144" t="s">
        <v>34</v>
      </c>
      <c r="F1321" s="143"/>
      <c r="G1321" s="143" t="s">
        <v>3529</v>
      </c>
      <c r="H1321" s="142" t="s">
        <v>199</v>
      </c>
      <c r="I1321" s="175"/>
      <c r="J1321" s="142"/>
      <c r="K1321" s="142"/>
      <c r="L1321" s="142"/>
      <c r="M1321" s="142"/>
      <c r="N1321" s="12"/>
      <c r="O1321" s="12" t="e">
        <v>#VALUE!</v>
      </c>
      <c r="P1321" s="13" t="str">
        <f t="shared" si="21"/>
        <v/>
      </c>
      <c r="Q1321" s="158"/>
      <c r="R1321" s="142" t="s">
        <v>2462</v>
      </c>
    </row>
    <row r="1322" spans="1:18" s="139" customFormat="1" ht="15" customHeight="1" x14ac:dyDescent="0.15">
      <c r="A1322" s="142" t="s">
        <v>2375</v>
      </c>
      <c r="B1322" s="142">
        <v>20</v>
      </c>
      <c r="C1322" s="143" t="s">
        <v>3511</v>
      </c>
      <c r="D1322" s="143">
        <v>1968</v>
      </c>
      <c r="E1322" s="144" t="s">
        <v>20</v>
      </c>
      <c r="F1322" s="143"/>
      <c r="G1322" s="143" t="s">
        <v>3530</v>
      </c>
      <c r="H1322" s="142" t="s">
        <v>199</v>
      </c>
      <c r="I1322" s="175" t="s">
        <v>2689</v>
      </c>
      <c r="J1322" s="142" t="s">
        <v>3531</v>
      </c>
      <c r="K1322" s="142"/>
      <c r="L1322" s="142"/>
      <c r="M1322" s="142"/>
      <c r="N1322" s="12"/>
      <c r="O1322" s="12" t="e">
        <v>#VALUE!</v>
      </c>
      <c r="P1322" s="13" t="str">
        <f t="shared" si="21"/>
        <v/>
      </c>
      <c r="Q1322" s="158"/>
      <c r="R1322" s="142" t="s">
        <v>2371</v>
      </c>
    </row>
    <row r="1323" spans="1:18" s="139" customFormat="1" ht="15" customHeight="1" x14ac:dyDescent="0.15">
      <c r="A1323" s="142" t="s">
        <v>2375</v>
      </c>
      <c r="B1323" s="142">
        <v>20</v>
      </c>
      <c r="C1323" s="143" t="s">
        <v>3511</v>
      </c>
      <c r="D1323" s="143">
        <v>1968</v>
      </c>
      <c r="E1323" s="144" t="s">
        <v>20</v>
      </c>
      <c r="F1323" s="143"/>
      <c r="G1323" s="143" t="s">
        <v>3532</v>
      </c>
      <c r="H1323" s="142" t="s">
        <v>199</v>
      </c>
      <c r="I1323" s="143"/>
      <c r="J1323" s="142"/>
      <c r="K1323" s="142"/>
      <c r="L1323" s="142"/>
      <c r="M1323" s="142"/>
      <c r="N1323" s="12"/>
      <c r="O1323" s="12" t="e">
        <v>#VALUE!</v>
      </c>
      <c r="P1323" s="13" t="str">
        <f t="shared" si="21"/>
        <v/>
      </c>
      <c r="Q1323" s="158"/>
      <c r="R1323" s="142" t="s">
        <v>2371</v>
      </c>
    </row>
    <row r="1324" spans="1:18" s="139" customFormat="1" ht="28.5" customHeight="1" x14ac:dyDescent="0.15">
      <c r="A1324" s="142" t="s">
        <v>2375</v>
      </c>
      <c r="B1324" s="142">
        <v>20</v>
      </c>
      <c r="C1324" s="143" t="s">
        <v>3511</v>
      </c>
      <c r="D1324" s="143">
        <v>1968</v>
      </c>
      <c r="E1324" s="144" t="s">
        <v>20</v>
      </c>
      <c r="F1324" s="143"/>
      <c r="G1324" s="143" t="s">
        <v>3533</v>
      </c>
      <c r="H1324" s="142" t="s">
        <v>1336</v>
      </c>
      <c r="I1324" s="143"/>
      <c r="J1324" s="142"/>
      <c r="K1324" s="142"/>
      <c r="L1324" s="142"/>
      <c r="M1324" s="142"/>
      <c r="N1324" s="12" t="s">
        <v>2743</v>
      </c>
      <c r="O1324" s="12" t="s">
        <v>2356</v>
      </c>
      <c r="P1324" s="13" t="str">
        <f t="shared" si="21"/>
        <v>日本の歴史の中の亀山／現代の亀山／交通と通信／電話（電報電話局）</v>
      </c>
      <c r="Q1324" s="158"/>
      <c r="R1324" s="142" t="s">
        <v>2462</v>
      </c>
    </row>
    <row r="1325" spans="1:18" s="6" customFormat="1" ht="28.5" customHeight="1" x14ac:dyDescent="0.15">
      <c r="A1325" s="142" t="s">
        <v>2375</v>
      </c>
      <c r="B1325" s="120">
        <v>20</v>
      </c>
      <c r="C1325" s="175" t="s">
        <v>3534</v>
      </c>
      <c r="D1325" s="175">
        <v>1969</v>
      </c>
      <c r="E1325" s="144" t="s">
        <v>20</v>
      </c>
      <c r="F1325" s="175"/>
      <c r="G1325" s="175" t="s">
        <v>3535</v>
      </c>
      <c r="H1325" s="120"/>
      <c r="I1325" s="175"/>
      <c r="J1325" s="120"/>
      <c r="K1325" s="120"/>
      <c r="L1325" s="120"/>
      <c r="M1325" s="120"/>
      <c r="N1325" s="12"/>
      <c r="O1325" s="12" t="e">
        <v>#VALUE!</v>
      </c>
      <c r="P1325" s="13" t="str">
        <f t="shared" si="21"/>
        <v/>
      </c>
      <c r="Q1325" s="192"/>
      <c r="R1325" s="142" t="s">
        <v>3422</v>
      </c>
    </row>
    <row r="1326" spans="1:18" s="6" customFormat="1" ht="31.5" customHeight="1" x14ac:dyDescent="0.15">
      <c r="A1326" s="142" t="s">
        <v>2375</v>
      </c>
      <c r="B1326" s="120">
        <v>20</v>
      </c>
      <c r="C1326" s="175" t="s">
        <v>3534</v>
      </c>
      <c r="D1326" s="175">
        <v>1969</v>
      </c>
      <c r="E1326" s="144" t="s">
        <v>20</v>
      </c>
      <c r="F1326" s="175"/>
      <c r="G1326" s="175" t="s">
        <v>3536</v>
      </c>
      <c r="H1326" s="120" t="s">
        <v>3537</v>
      </c>
      <c r="I1326" s="175"/>
      <c r="J1326" s="120"/>
      <c r="K1326" s="120"/>
      <c r="L1326" s="120"/>
      <c r="M1326" s="120"/>
      <c r="N1326" s="12" t="s">
        <v>3034</v>
      </c>
      <c r="O1326" s="12" t="s">
        <v>3035</v>
      </c>
      <c r="P1326" s="13" t="str">
        <f t="shared" si="21"/>
        <v>日本の歴史の中の亀山／現代の亀山／行政と政治／水道</v>
      </c>
      <c r="Q1326" s="192"/>
      <c r="R1326" s="142" t="s">
        <v>3422</v>
      </c>
    </row>
    <row r="1327" spans="1:18" s="6" customFormat="1" ht="28.5" customHeight="1" x14ac:dyDescent="0.15">
      <c r="A1327" s="142" t="s">
        <v>2375</v>
      </c>
      <c r="B1327" s="120">
        <v>20</v>
      </c>
      <c r="C1327" s="175" t="s">
        <v>3534</v>
      </c>
      <c r="D1327" s="175">
        <v>1969</v>
      </c>
      <c r="E1327" s="144" t="s">
        <v>34</v>
      </c>
      <c r="F1327" s="175"/>
      <c r="G1327" s="175" t="s">
        <v>3538</v>
      </c>
      <c r="H1327" s="120" t="s">
        <v>464</v>
      </c>
      <c r="I1327" s="175" t="s">
        <v>1693</v>
      </c>
      <c r="J1327" s="22" t="str">
        <f>HYPERLINK("http://kameyamarekihaku.jp/sisi/tuusiHP_next/kingendai/image/07/gi.htm?pf=3062sh007-05.JPG&amp;?pn=%E8%83%BD%E8%A4%92%E9%87%8E%E7%A5%9E%E7%A4%BE%E4%B8%80%E3%81%AE%E9%B3%A5%E5%B1%85","能褒野神社一の鳥居")</f>
        <v>能褒野神社一の鳥居</v>
      </c>
      <c r="K1327" s="120"/>
      <c r="L1327" s="120"/>
      <c r="M1327" s="120"/>
      <c r="N1327" s="23"/>
      <c r="O1327" s="23" t="e">
        <v>#VALUE!</v>
      </c>
      <c r="P1327" s="24" t="str">
        <f t="shared" si="21"/>
        <v/>
      </c>
      <c r="Q1327" s="25" t="str">
        <f>HYPERLINK("http:/kameyamarekihaku.jp/sisi/tuusiHP_next/tuusi-index.html#kingendai0701","市史通史編 近代・現代第7章第1節第1項")</f>
        <v>市史通史編 近代・現代第7章第1節第1項</v>
      </c>
      <c r="R1327" s="142" t="s">
        <v>3422</v>
      </c>
    </row>
    <row r="1328" spans="1:18" s="6" customFormat="1" ht="28.5" customHeight="1" x14ac:dyDescent="0.15">
      <c r="A1328" s="142" t="s">
        <v>2375</v>
      </c>
      <c r="B1328" s="120">
        <v>20</v>
      </c>
      <c r="C1328" s="175" t="s">
        <v>3534</v>
      </c>
      <c r="D1328" s="175">
        <v>1969</v>
      </c>
      <c r="E1328" s="144" t="s">
        <v>20</v>
      </c>
      <c r="F1328" s="175"/>
      <c r="G1328" s="175" t="s">
        <v>3539</v>
      </c>
      <c r="H1328" s="120"/>
      <c r="I1328" s="175"/>
      <c r="J1328" s="120"/>
      <c r="K1328" s="120"/>
      <c r="L1328" s="120"/>
      <c r="M1328" s="120"/>
      <c r="N1328" s="12"/>
      <c r="O1328" s="12" t="e">
        <v>#VALUE!</v>
      </c>
      <c r="P1328" s="13" t="str">
        <f t="shared" si="21"/>
        <v/>
      </c>
      <c r="Q1328" s="192"/>
      <c r="R1328" s="142" t="s">
        <v>3422</v>
      </c>
    </row>
    <row r="1329" spans="1:18" s="6" customFormat="1" ht="28.5" customHeight="1" x14ac:dyDescent="0.15">
      <c r="A1329" s="142" t="s">
        <v>2375</v>
      </c>
      <c r="B1329" s="120">
        <v>20</v>
      </c>
      <c r="C1329" s="175" t="s">
        <v>3534</v>
      </c>
      <c r="D1329" s="175">
        <v>1969</v>
      </c>
      <c r="E1329" s="144" t="s">
        <v>20</v>
      </c>
      <c r="F1329" s="175"/>
      <c r="G1329" s="175" t="s">
        <v>3540</v>
      </c>
      <c r="H1329" s="120"/>
      <c r="I1329" s="175"/>
      <c r="J1329" s="120"/>
      <c r="K1329" s="120"/>
      <c r="L1329" s="120"/>
      <c r="M1329" s="120"/>
      <c r="N1329" s="12"/>
      <c r="O1329" s="12" t="e">
        <v>#VALUE!</v>
      </c>
      <c r="P1329" s="13" t="str">
        <f t="shared" si="21"/>
        <v/>
      </c>
      <c r="Q1329" s="192"/>
      <c r="R1329" s="142" t="s">
        <v>3422</v>
      </c>
    </row>
    <row r="1330" spans="1:18" s="6" customFormat="1" ht="15" customHeight="1" x14ac:dyDescent="0.15">
      <c r="A1330" s="142" t="s">
        <v>2375</v>
      </c>
      <c r="B1330" s="120">
        <v>20</v>
      </c>
      <c r="C1330" s="175" t="s">
        <v>3534</v>
      </c>
      <c r="D1330" s="175">
        <v>1969</v>
      </c>
      <c r="E1330" s="144" t="s">
        <v>20</v>
      </c>
      <c r="F1330" s="175"/>
      <c r="G1330" s="175" t="s">
        <v>3541</v>
      </c>
      <c r="H1330" s="120" t="s">
        <v>464</v>
      </c>
      <c r="I1330" s="175" t="s">
        <v>3542</v>
      </c>
      <c r="J1330" s="120" t="s">
        <v>3543</v>
      </c>
      <c r="K1330" s="120"/>
      <c r="L1330" s="120"/>
      <c r="M1330" s="120"/>
      <c r="N1330" s="12"/>
      <c r="O1330" s="12" t="e">
        <v>#VALUE!</v>
      </c>
      <c r="P1330" s="13" t="str">
        <f t="shared" si="21"/>
        <v/>
      </c>
      <c r="Q1330" s="192"/>
      <c r="R1330" s="142" t="s">
        <v>3422</v>
      </c>
    </row>
    <row r="1331" spans="1:18" s="6" customFormat="1" ht="28.5" customHeight="1" x14ac:dyDescent="0.15">
      <c r="A1331" s="142" t="s">
        <v>2375</v>
      </c>
      <c r="B1331" s="120">
        <v>20</v>
      </c>
      <c r="C1331" s="175" t="s">
        <v>3534</v>
      </c>
      <c r="D1331" s="175">
        <v>1969</v>
      </c>
      <c r="E1331" s="144" t="s">
        <v>20</v>
      </c>
      <c r="F1331" s="175"/>
      <c r="G1331" s="175" t="s">
        <v>3544</v>
      </c>
      <c r="H1331" s="120"/>
      <c r="I1331" s="175"/>
      <c r="J1331" s="120"/>
      <c r="K1331" s="120"/>
      <c r="L1331" s="120"/>
      <c r="M1331" s="120"/>
      <c r="N1331" s="12"/>
      <c r="O1331" s="12" t="e">
        <v>#VALUE!</v>
      </c>
      <c r="P1331" s="13" t="str">
        <f t="shared" si="21"/>
        <v/>
      </c>
      <c r="Q1331" s="192"/>
      <c r="R1331" s="142" t="s">
        <v>3422</v>
      </c>
    </row>
    <row r="1332" spans="1:18" s="6" customFormat="1" ht="15" customHeight="1" x14ac:dyDescent="0.15">
      <c r="A1332" s="142" t="s">
        <v>2375</v>
      </c>
      <c r="B1332" s="120">
        <v>20</v>
      </c>
      <c r="C1332" s="175" t="s">
        <v>3534</v>
      </c>
      <c r="D1332" s="175">
        <v>1969</v>
      </c>
      <c r="E1332" s="144" t="s">
        <v>20</v>
      </c>
      <c r="F1332" s="175"/>
      <c r="G1332" s="175" t="s">
        <v>3545</v>
      </c>
      <c r="H1332" s="120"/>
      <c r="I1332" s="175"/>
      <c r="J1332" s="120"/>
      <c r="K1332" s="120"/>
      <c r="L1332" s="120"/>
      <c r="M1332" s="120"/>
      <c r="N1332" s="12"/>
      <c r="O1332" s="12" t="e">
        <v>#VALUE!</v>
      </c>
      <c r="P1332" s="13" t="str">
        <f t="shared" si="21"/>
        <v/>
      </c>
      <c r="Q1332" s="192"/>
      <c r="R1332" s="142" t="s">
        <v>3422</v>
      </c>
    </row>
    <row r="1333" spans="1:18" s="6" customFormat="1" ht="28.5" customHeight="1" x14ac:dyDescent="0.15">
      <c r="A1333" s="142" t="s">
        <v>2375</v>
      </c>
      <c r="B1333" s="120">
        <v>20</v>
      </c>
      <c r="C1333" s="175" t="s">
        <v>3534</v>
      </c>
      <c r="D1333" s="175">
        <v>1969</v>
      </c>
      <c r="E1333" s="144" t="s">
        <v>20</v>
      </c>
      <c r="F1333" s="175"/>
      <c r="G1333" s="175" t="s">
        <v>3546</v>
      </c>
      <c r="H1333" s="120"/>
      <c r="I1333" s="175"/>
      <c r="J1333" s="120"/>
      <c r="K1333" s="120"/>
      <c r="L1333" s="120"/>
      <c r="M1333" s="120"/>
      <c r="N1333" s="12"/>
      <c r="O1333" s="12" t="e">
        <v>#VALUE!</v>
      </c>
      <c r="P1333" s="13" t="str">
        <f t="shared" si="21"/>
        <v/>
      </c>
      <c r="Q1333" s="192"/>
      <c r="R1333" s="142" t="s">
        <v>3422</v>
      </c>
    </row>
    <row r="1334" spans="1:18" s="6" customFormat="1" ht="15" customHeight="1" x14ac:dyDescent="0.15">
      <c r="A1334" s="142" t="s">
        <v>2375</v>
      </c>
      <c r="B1334" s="120">
        <v>20</v>
      </c>
      <c r="C1334" s="175" t="s">
        <v>3534</v>
      </c>
      <c r="D1334" s="175">
        <v>1969</v>
      </c>
      <c r="E1334" s="144" t="s">
        <v>20</v>
      </c>
      <c r="F1334" s="175"/>
      <c r="G1334" s="175" t="s">
        <v>3547</v>
      </c>
      <c r="H1334" s="120" t="s">
        <v>464</v>
      </c>
      <c r="I1334" s="175" t="s">
        <v>394</v>
      </c>
      <c r="J1334" s="120"/>
      <c r="K1334" s="120"/>
      <c r="L1334" s="120"/>
      <c r="M1334" s="120"/>
      <c r="N1334" s="12"/>
      <c r="O1334" s="12" t="e">
        <v>#VALUE!</v>
      </c>
      <c r="P1334" s="13" t="str">
        <f t="shared" si="21"/>
        <v/>
      </c>
      <c r="Q1334" s="192"/>
      <c r="R1334" s="142" t="s">
        <v>3422</v>
      </c>
    </row>
    <row r="1335" spans="1:18" s="6" customFormat="1" ht="28.5" customHeight="1" x14ac:dyDescent="0.15">
      <c r="A1335" s="142" t="s">
        <v>2375</v>
      </c>
      <c r="B1335" s="120">
        <v>20</v>
      </c>
      <c r="C1335" s="175" t="s">
        <v>3534</v>
      </c>
      <c r="D1335" s="175">
        <v>1969</v>
      </c>
      <c r="E1335" s="144" t="s">
        <v>20</v>
      </c>
      <c r="F1335" s="175"/>
      <c r="G1335" s="175" t="s">
        <v>3548</v>
      </c>
      <c r="H1335" s="120" t="s">
        <v>464</v>
      </c>
      <c r="I1335" s="175" t="s">
        <v>2360</v>
      </c>
      <c r="J1335" s="120" t="s">
        <v>3549</v>
      </c>
      <c r="K1335" s="120"/>
      <c r="L1335" s="120"/>
      <c r="M1335" s="120"/>
      <c r="N1335" s="12"/>
      <c r="O1335" s="12" t="e">
        <v>#VALUE!</v>
      </c>
      <c r="P1335" s="13" t="str">
        <f t="shared" si="21"/>
        <v/>
      </c>
      <c r="Q1335" s="192"/>
      <c r="R1335" s="142" t="s">
        <v>3422</v>
      </c>
    </row>
    <row r="1336" spans="1:18" s="6" customFormat="1" ht="45" customHeight="1" x14ac:dyDescent="0.15">
      <c r="A1336" s="142" t="s">
        <v>2375</v>
      </c>
      <c r="B1336" s="120">
        <v>20</v>
      </c>
      <c r="C1336" s="175" t="s">
        <v>3534</v>
      </c>
      <c r="D1336" s="175">
        <v>1969</v>
      </c>
      <c r="E1336" s="144" t="s">
        <v>34</v>
      </c>
      <c r="F1336" s="175"/>
      <c r="G1336" s="175" t="s">
        <v>3550</v>
      </c>
      <c r="H1336" s="120" t="s">
        <v>156</v>
      </c>
      <c r="I1336" s="175" t="s">
        <v>3551</v>
      </c>
      <c r="J1336" s="120" t="s">
        <v>3552</v>
      </c>
      <c r="K1336" s="120"/>
      <c r="L1336" s="120"/>
      <c r="M1336" s="120" t="s">
        <v>3553</v>
      </c>
      <c r="N1336" s="19" t="s">
        <v>3554</v>
      </c>
      <c r="O1336" s="19" t="s">
        <v>760</v>
      </c>
      <c r="P1336" s="20" t="str">
        <f t="shared" si="21"/>
        <v>亀山のいいとこさがし／景色のよいところや歴史を知る手掛かりとなるもの／歴史上の場所／峯城跡</v>
      </c>
      <c r="Q1336" s="21" t="str">
        <f>HYPERLINK("http://kameyamarekihaku.jp/sisi/kouko/kouko_minejou.htm","亀山市史考古の峯城跡調査")</f>
        <v>亀山市史考古の峯城跡調査</v>
      </c>
      <c r="R1336" s="142" t="s">
        <v>3555</v>
      </c>
    </row>
    <row r="1337" spans="1:18" s="6" customFormat="1" ht="34.5" customHeight="1" x14ac:dyDescent="0.15">
      <c r="A1337" s="142" t="s">
        <v>2375</v>
      </c>
      <c r="B1337" s="120">
        <v>20</v>
      </c>
      <c r="C1337" s="175" t="s">
        <v>3534</v>
      </c>
      <c r="D1337" s="175">
        <v>1969</v>
      </c>
      <c r="E1337" s="144" t="s">
        <v>20</v>
      </c>
      <c r="F1337" s="175"/>
      <c r="G1337" s="175" t="s">
        <v>3556</v>
      </c>
      <c r="H1337" s="120" t="s">
        <v>156</v>
      </c>
      <c r="I1337" s="175" t="s">
        <v>3557</v>
      </c>
      <c r="J1337" s="120" t="s">
        <v>3558</v>
      </c>
      <c r="K1337" s="120"/>
      <c r="L1337" s="120"/>
      <c r="M1337" s="120"/>
      <c r="N1337" s="23"/>
      <c r="O1337" s="23" t="e">
        <v>#VALUE!</v>
      </c>
      <c r="P1337" s="24" t="str">
        <f t="shared" si="21"/>
        <v/>
      </c>
      <c r="Q1337" s="25" t="str">
        <f>HYPERLINK("http:/kameyamarekihaku.jp/sisi/tuusiHP_next/tuusi-index.html#kingendai0902","市史通史編 近代・現代第9章第2節第1項")</f>
        <v>市史通史編 近代・現代第9章第2節第1項</v>
      </c>
      <c r="R1337" s="142" t="s">
        <v>3422</v>
      </c>
    </row>
    <row r="1338" spans="1:18" s="6" customFormat="1" ht="15" customHeight="1" x14ac:dyDescent="0.15">
      <c r="A1338" s="142" t="s">
        <v>2375</v>
      </c>
      <c r="B1338" s="120">
        <v>20</v>
      </c>
      <c r="C1338" s="175" t="s">
        <v>3534</v>
      </c>
      <c r="D1338" s="175">
        <v>1969</v>
      </c>
      <c r="E1338" s="144" t="s">
        <v>20</v>
      </c>
      <c r="F1338" s="175"/>
      <c r="G1338" s="175" t="s">
        <v>3559</v>
      </c>
      <c r="H1338" s="120" t="s">
        <v>2561</v>
      </c>
      <c r="I1338" s="175"/>
      <c r="J1338" s="120"/>
      <c r="K1338" s="120"/>
      <c r="L1338" s="120"/>
      <c r="M1338" s="120"/>
      <c r="N1338" s="12"/>
      <c r="O1338" s="12" t="e">
        <v>#VALUE!</v>
      </c>
      <c r="P1338" s="13" t="str">
        <f t="shared" si="21"/>
        <v/>
      </c>
      <c r="Q1338" s="192"/>
      <c r="R1338" s="142" t="s">
        <v>2371</v>
      </c>
    </row>
    <row r="1339" spans="1:18" s="6" customFormat="1" ht="15" customHeight="1" x14ac:dyDescent="0.15">
      <c r="A1339" s="142" t="s">
        <v>2375</v>
      </c>
      <c r="B1339" s="120">
        <v>20</v>
      </c>
      <c r="C1339" s="175" t="s">
        <v>3534</v>
      </c>
      <c r="D1339" s="175">
        <v>1969</v>
      </c>
      <c r="E1339" s="144" t="s">
        <v>20</v>
      </c>
      <c r="F1339" s="175"/>
      <c r="G1339" s="175" t="s">
        <v>3560</v>
      </c>
      <c r="H1339" s="120" t="s">
        <v>3561</v>
      </c>
      <c r="I1339" s="175" t="s">
        <v>3562</v>
      </c>
      <c r="J1339" s="120" t="s">
        <v>3563</v>
      </c>
      <c r="K1339" s="120"/>
      <c r="L1339" s="120"/>
      <c r="M1339" s="120"/>
      <c r="N1339" s="12"/>
      <c r="O1339" s="12" t="e">
        <v>#VALUE!</v>
      </c>
      <c r="P1339" s="13" t="str">
        <f t="shared" si="21"/>
        <v/>
      </c>
      <c r="Q1339" s="192"/>
      <c r="R1339" s="142" t="s">
        <v>2371</v>
      </c>
    </row>
    <row r="1340" spans="1:18" s="6" customFormat="1" ht="15" customHeight="1" x14ac:dyDescent="0.15">
      <c r="A1340" s="142" t="s">
        <v>2375</v>
      </c>
      <c r="B1340" s="120">
        <v>20</v>
      </c>
      <c r="C1340" s="175" t="s">
        <v>3534</v>
      </c>
      <c r="D1340" s="175">
        <v>1969</v>
      </c>
      <c r="E1340" s="144" t="s">
        <v>20</v>
      </c>
      <c r="F1340" s="175"/>
      <c r="G1340" s="175" t="s">
        <v>3564</v>
      </c>
      <c r="H1340" s="120"/>
      <c r="I1340" s="175"/>
      <c r="J1340" s="120"/>
      <c r="K1340" s="120"/>
      <c r="L1340" s="120"/>
      <c r="M1340" s="120"/>
      <c r="N1340" s="12"/>
      <c r="O1340" s="12" t="e">
        <v>#VALUE!</v>
      </c>
      <c r="P1340" s="13" t="str">
        <f t="shared" si="21"/>
        <v/>
      </c>
      <c r="Q1340" s="192"/>
      <c r="R1340" s="142" t="s">
        <v>2371</v>
      </c>
    </row>
    <row r="1341" spans="1:18" s="6" customFormat="1" ht="15" customHeight="1" x14ac:dyDescent="0.15">
      <c r="A1341" s="142" t="s">
        <v>2375</v>
      </c>
      <c r="B1341" s="120">
        <v>20</v>
      </c>
      <c r="C1341" s="175" t="s">
        <v>3534</v>
      </c>
      <c r="D1341" s="175">
        <v>1969</v>
      </c>
      <c r="E1341" s="144" t="s">
        <v>20</v>
      </c>
      <c r="F1341" s="175"/>
      <c r="G1341" s="175" t="s">
        <v>3565</v>
      </c>
      <c r="H1341" s="120" t="s">
        <v>199</v>
      </c>
      <c r="I1341" s="175" t="s">
        <v>2689</v>
      </c>
      <c r="J1341" s="120" t="s">
        <v>3566</v>
      </c>
      <c r="K1341" s="120"/>
      <c r="L1341" s="120"/>
      <c r="M1341" s="120"/>
      <c r="N1341" s="12"/>
      <c r="O1341" s="12" t="e">
        <v>#VALUE!</v>
      </c>
      <c r="P1341" s="13" t="str">
        <f t="shared" si="21"/>
        <v/>
      </c>
      <c r="Q1341" s="192"/>
      <c r="R1341" s="142" t="s">
        <v>2371</v>
      </c>
    </row>
    <row r="1342" spans="1:18" s="6" customFormat="1" ht="28.5" customHeight="1" x14ac:dyDescent="0.15">
      <c r="A1342" s="142" t="s">
        <v>2375</v>
      </c>
      <c r="B1342" s="120">
        <v>20</v>
      </c>
      <c r="C1342" s="175" t="s">
        <v>3534</v>
      </c>
      <c r="D1342" s="175">
        <v>1969</v>
      </c>
      <c r="E1342" s="144" t="s">
        <v>20</v>
      </c>
      <c r="F1342" s="175"/>
      <c r="G1342" s="175" t="s">
        <v>3567</v>
      </c>
      <c r="H1342" s="120"/>
      <c r="I1342" s="175"/>
      <c r="J1342" s="120"/>
      <c r="K1342" s="120"/>
      <c r="L1342" s="120"/>
      <c r="M1342" s="120"/>
      <c r="N1342" s="12" t="s">
        <v>3568</v>
      </c>
      <c r="O1342" s="12" t="s">
        <v>3569</v>
      </c>
      <c r="P1342" s="13" t="str">
        <f t="shared" si="21"/>
        <v>日本の歴史の中の亀山／現代の亀山／行政と政治／ごみ処理場</v>
      </c>
      <c r="Q1342" s="192"/>
      <c r="R1342" s="142" t="s">
        <v>2462</v>
      </c>
    </row>
    <row r="1343" spans="1:18" s="6" customFormat="1" ht="15" customHeight="1" x14ac:dyDescent="0.15">
      <c r="A1343" s="142" t="s">
        <v>2375</v>
      </c>
      <c r="B1343" s="120">
        <v>20</v>
      </c>
      <c r="C1343" s="175" t="s">
        <v>3534</v>
      </c>
      <c r="D1343" s="175">
        <v>1969</v>
      </c>
      <c r="E1343" s="144" t="s">
        <v>20</v>
      </c>
      <c r="F1343" s="175"/>
      <c r="G1343" s="175" t="s">
        <v>3570</v>
      </c>
      <c r="H1343" s="120" t="s">
        <v>1336</v>
      </c>
      <c r="I1343" s="175"/>
      <c r="J1343" s="120"/>
      <c r="K1343" s="120"/>
      <c r="L1343" s="120"/>
      <c r="M1343" s="120"/>
      <c r="N1343" s="12"/>
      <c r="O1343" s="12" t="e">
        <v>#VALUE!</v>
      </c>
      <c r="P1343" s="13" t="str">
        <f t="shared" si="21"/>
        <v/>
      </c>
      <c r="Q1343" s="192"/>
      <c r="R1343" s="142" t="s">
        <v>2371</v>
      </c>
    </row>
    <row r="1344" spans="1:18" s="6" customFormat="1" ht="28.5" customHeight="1" x14ac:dyDescent="0.15">
      <c r="A1344" s="142" t="s">
        <v>2375</v>
      </c>
      <c r="B1344" s="120">
        <v>20</v>
      </c>
      <c r="C1344" s="175" t="s">
        <v>3534</v>
      </c>
      <c r="D1344" s="175">
        <v>1969</v>
      </c>
      <c r="E1344" s="144" t="s">
        <v>34</v>
      </c>
      <c r="F1344" s="175"/>
      <c r="G1344" s="175" t="s">
        <v>3571</v>
      </c>
      <c r="H1344" s="120" t="s">
        <v>199</v>
      </c>
      <c r="I1344" s="175"/>
      <c r="J1344" s="22" t="str">
        <f>HYPERLINK("http://kameyamarekihaku.jp/sisi/tuusiHP_next/kingendai/image/09/gi.htm?pf=3107sh009-18.JPG&amp;?pn=%E9%96%A2%E3%81%AE%E5%B1%B1%E8%BB%8A","関の曳山（山車）")</f>
        <v>関の曳山（山車）</v>
      </c>
      <c r="K1344" s="120"/>
      <c r="L1344" s="120"/>
      <c r="M1344" s="120"/>
      <c r="N1344" s="12" t="s">
        <v>3509</v>
      </c>
      <c r="O1344" s="12" t="s">
        <v>3510</v>
      </c>
      <c r="P1344" s="13" t="str">
        <f t="shared" si="21"/>
        <v>亀山のいいとこさがし／人々がつたえてきたこと／踊りや唄／関の山車</v>
      </c>
      <c r="Q1344" s="192"/>
      <c r="R1344" s="142" t="s">
        <v>2371</v>
      </c>
    </row>
    <row r="1345" spans="1:18" s="139" customFormat="1" ht="15" customHeight="1" x14ac:dyDescent="0.15">
      <c r="A1345" s="142" t="s">
        <v>2950</v>
      </c>
      <c r="B1345" s="142">
        <v>20</v>
      </c>
      <c r="C1345" s="143" t="s">
        <v>3572</v>
      </c>
      <c r="D1345" s="143">
        <v>1970</v>
      </c>
      <c r="E1345" s="144" t="s">
        <v>59</v>
      </c>
      <c r="F1345" s="143" t="s">
        <v>3573</v>
      </c>
      <c r="G1345" s="143"/>
      <c r="H1345" s="120"/>
      <c r="I1345" s="175"/>
      <c r="J1345" s="120"/>
      <c r="K1345" s="142"/>
      <c r="L1345" s="142"/>
      <c r="M1345" s="142"/>
      <c r="N1345" s="12"/>
      <c r="O1345" s="12" t="e">
        <v>#VALUE!</v>
      </c>
      <c r="P1345" s="13" t="str">
        <f t="shared" si="21"/>
        <v/>
      </c>
      <c r="Q1345" s="192"/>
      <c r="R1345" s="142"/>
    </row>
    <row r="1346" spans="1:18" s="139" customFormat="1" ht="15" customHeight="1" x14ac:dyDescent="0.15">
      <c r="A1346" s="142" t="s">
        <v>2375</v>
      </c>
      <c r="B1346" s="142">
        <v>20</v>
      </c>
      <c r="C1346" s="143" t="s">
        <v>3572</v>
      </c>
      <c r="D1346" s="143">
        <v>1970</v>
      </c>
      <c r="E1346" s="144" t="s">
        <v>20</v>
      </c>
      <c r="F1346" s="143" t="s">
        <v>3574</v>
      </c>
      <c r="G1346" s="238"/>
      <c r="H1346" s="142"/>
      <c r="I1346" s="143"/>
      <c r="J1346" s="142"/>
      <c r="K1346" s="142"/>
      <c r="L1346" s="142"/>
      <c r="M1346" s="142"/>
      <c r="N1346" s="12"/>
      <c r="O1346" s="12" t="e">
        <v>#VALUE!</v>
      </c>
      <c r="P1346" s="13" t="str">
        <f t="shared" si="21"/>
        <v/>
      </c>
      <c r="Q1346" s="158"/>
      <c r="R1346" s="142"/>
    </row>
    <row r="1347" spans="1:18" s="139" customFormat="1" ht="28.5" customHeight="1" x14ac:dyDescent="0.15">
      <c r="A1347" s="142" t="s">
        <v>2950</v>
      </c>
      <c r="B1347" s="142">
        <v>20</v>
      </c>
      <c r="C1347" s="143" t="s">
        <v>3572</v>
      </c>
      <c r="D1347" s="143">
        <v>1970</v>
      </c>
      <c r="E1347" s="144" t="s">
        <v>20</v>
      </c>
      <c r="F1347" s="143"/>
      <c r="G1347" s="143" t="s">
        <v>3575</v>
      </c>
      <c r="H1347" s="120" t="s">
        <v>2191</v>
      </c>
      <c r="I1347" s="175" t="s">
        <v>3576</v>
      </c>
      <c r="J1347" s="120"/>
      <c r="K1347" s="142"/>
      <c r="L1347" s="142"/>
      <c r="M1347" s="142"/>
      <c r="N1347" s="12"/>
      <c r="O1347" s="12" t="e">
        <v>#VALUE!</v>
      </c>
      <c r="P1347" s="13" t="str">
        <f t="shared" si="21"/>
        <v/>
      </c>
      <c r="Q1347" s="192"/>
      <c r="R1347" s="142" t="s">
        <v>3422</v>
      </c>
    </row>
    <row r="1348" spans="1:18" s="139" customFormat="1" ht="28.5" customHeight="1" x14ac:dyDescent="0.15">
      <c r="A1348" s="142" t="s">
        <v>2950</v>
      </c>
      <c r="B1348" s="142">
        <v>20</v>
      </c>
      <c r="C1348" s="143" t="s">
        <v>3572</v>
      </c>
      <c r="D1348" s="143">
        <v>1970</v>
      </c>
      <c r="E1348" s="144" t="s">
        <v>20</v>
      </c>
      <c r="F1348" s="143"/>
      <c r="G1348" s="143" t="s">
        <v>3577</v>
      </c>
      <c r="H1348" s="120" t="s">
        <v>2387</v>
      </c>
      <c r="I1348" s="175" t="s">
        <v>3253</v>
      </c>
      <c r="J1348" s="120"/>
      <c r="K1348" s="142"/>
      <c r="L1348" s="142"/>
      <c r="M1348" s="142"/>
      <c r="N1348" s="12"/>
      <c r="O1348" s="12" t="e">
        <v>#VALUE!</v>
      </c>
      <c r="P1348" s="13" t="str">
        <f t="shared" si="21"/>
        <v/>
      </c>
      <c r="Q1348" s="192"/>
      <c r="R1348" s="142" t="s">
        <v>3422</v>
      </c>
    </row>
    <row r="1349" spans="1:18" s="139" customFormat="1" ht="26.25" customHeight="1" x14ac:dyDescent="0.15">
      <c r="A1349" s="142" t="s">
        <v>2950</v>
      </c>
      <c r="B1349" s="142">
        <v>20</v>
      </c>
      <c r="C1349" s="143" t="s">
        <v>3572</v>
      </c>
      <c r="D1349" s="143">
        <v>1970</v>
      </c>
      <c r="E1349" s="144" t="s">
        <v>20</v>
      </c>
      <c r="F1349" s="143"/>
      <c r="G1349" s="143" t="s">
        <v>3578</v>
      </c>
      <c r="H1349" s="142" t="s">
        <v>3321</v>
      </c>
      <c r="I1349" s="143" t="s">
        <v>3322</v>
      </c>
      <c r="J1349" s="142" t="s">
        <v>3579</v>
      </c>
      <c r="K1349" s="142"/>
      <c r="L1349" s="142"/>
      <c r="M1349" s="142"/>
      <c r="N1349" s="12"/>
      <c r="O1349" s="12" t="e">
        <v>#VALUE!</v>
      </c>
      <c r="P1349" s="13" t="str">
        <f t="shared" ref="P1349:P1412" si="22">IFERROR(HYPERLINK(O1349,N1349),"")</f>
        <v/>
      </c>
      <c r="Q1349" s="158"/>
      <c r="R1349" s="142" t="s">
        <v>3422</v>
      </c>
    </row>
    <row r="1350" spans="1:18" s="139" customFormat="1" ht="28.5" customHeight="1" x14ac:dyDescent="0.15">
      <c r="A1350" s="145" t="s">
        <v>2950</v>
      </c>
      <c r="B1350" s="145">
        <v>20</v>
      </c>
      <c r="C1350" s="146" t="s">
        <v>3572</v>
      </c>
      <c r="D1350" s="146">
        <v>1970</v>
      </c>
      <c r="E1350" s="147" t="s">
        <v>34</v>
      </c>
      <c r="F1350" s="146"/>
      <c r="G1350" s="146" t="s">
        <v>3580</v>
      </c>
      <c r="H1350" s="88" t="s">
        <v>464</v>
      </c>
      <c r="I1350" s="163" t="s">
        <v>947</v>
      </c>
      <c r="J1350" s="88" t="s">
        <v>1020</v>
      </c>
      <c r="K1350" s="145"/>
      <c r="L1350" s="145"/>
      <c r="M1350" s="231" t="s">
        <v>3581</v>
      </c>
      <c r="N1350" s="19" t="s">
        <v>3582</v>
      </c>
      <c r="O1350" s="19" t="s">
        <v>2070</v>
      </c>
      <c r="P1350" s="20" t="str">
        <f t="shared" si="22"/>
        <v>亀山城と宿場／亀山城のつくり／櫓／多門櫓</v>
      </c>
      <c r="Q1350" s="28" t="str">
        <f>HYPERLINK("http://kameyamarekihaku.jp/raikan_demae/140620_nisi_syo.html","西小6年地域素材の教材化実践例「亀山の史跡を知ろう」")</f>
        <v>西小6年地域素材の教材化実践例「亀山の史跡を知ろう」</v>
      </c>
      <c r="R1350" s="145" t="s">
        <v>3583</v>
      </c>
    </row>
    <row r="1351" spans="1:18" s="139" customFormat="1" ht="28.5" customHeight="1" x14ac:dyDescent="0.15">
      <c r="A1351" s="151"/>
      <c r="B1351" s="151"/>
      <c r="C1351" s="152"/>
      <c r="D1351" s="152"/>
      <c r="E1351" s="153"/>
      <c r="F1351" s="152"/>
      <c r="G1351" s="152"/>
      <c r="H1351" s="91"/>
      <c r="I1351" s="169"/>
      <c r="J1351" s="91"/>
      <c r="K1351" s="151"/>
      <c r="L1351" s="151"/>
      <c r="M1351" s="232"/>
      <c r="N1351" s="19" t="s">
        <v>1083</v>
      </c>
      <c r="O1351" s="19" t="s">
        <v>774</v>
      </c>
      <c r="P1351" s="20" t="str">
        <f t="shared" si="22"/>
        <v>亀山のいいとこさがし／建物</v>
      </c>
      <c r="Q1351" s="21" t="str">
        <f>HYPERLINK("http://www.kameyamarekihaku.jp/sisi/seckam3/chizushiro.php","市史考古分野(各コンテンツ)「亀山城を歩く」No.1")</f>
        <v>市史考古分野(各コンテンツ)「亀山城を歩く」No.1</v>
      </c>
      <c r="R1351" s="151"/>
    </row>
    <row r="1352" spans="1:18" s="139" customFormat="1" ht="34.5" customHeight="1" x14ac:dyDescent="0.15">
      <c r="A1352" s="142" t="s">
        <v>2950</v>
      </c>
      <c r="B1352" s="142">
        <v>20</v>
      </c>
      <c r="C1352" s="143" t="s">
        <v>3572</v>
      </c>
      <c r="D1352" s="143">
        <v>1970</v>
      </c>
      <c r="E1352" s="144" t="s">
        <v>20</v>
      </c>
      <c r="F1352" s="143"/>
      <c r="G1352" s="143" t="s">
        <v>3584</v>
      </c>
      <c r="H1352" s="120"/>
      <c r="I1352" s="175"/>
      <c r="J1352" s="120"/>
      <c r="K1352" s="142"/>
      <c r="L1352" s="142"/>
      <c r="M1352" s="142"/>
      <c r="N1352" s="12" t="s">
        <v>3585</v>
      </c>
      <c r="O1352" s="12" t="s">
        <v>3569</v>
      </c>
      <c r="P1352" s="13" t="str">
        <f t="shared" si="22"/>
        <v>日本の歴史の中の亀山／現代の亀山／行政と政治／ごみ処理場</v>
      </c>
      <c r="Q1352" s="192"/>
      <c r="R1352" s="142" t="s">
        <v>3422</v>
      </c>
    </row>
    <row r="1353" spans="1:18" s="139" customFormat="1" ht="43.5" customHeight="1" x14ac:dyDescent="0.15">
      <c r="A1353" s="142" t="s">
        <v>2950</v>
      </c>
      <c r="B1353" s="142">
        <v>20</v>
      </c>
      <c r="C1353" s="143" t="s">
        <v>3572</v>
      </c>
      <c r="D1353" s="143">
        <v>1970</v>
      </c>
      <c r="E1353" s="144" t="s">
        <v>34</v>
      </c>
      <c r="F1353" s="143"/>
      <c r="G1353" s="143" t="s">
        <v>3586</v>
      </c>
      <c r="H1353" s="120"/>
      <c r="I1353" s="175"/>
      <c r="J1353" s="120"/>
      <c r="K1353" s="142"/>
      <c r="L1353" s="142"/>
      <c r="M1353" s="142"/>
      <c r="N1353" s="32"/>
      <c r="O1353" s="32" t="e">
        <v>#VALUE!</v>
      </c>
      <c r="P1353" s="33" t="str">
        <f t="shared" si="22"/>
        <v/>
      </c>
      <c r="Q1353" s="182" t="str">
        <f>HYPERLINK("http://kameyamarekihaku.jp/raikan_demae/140221_kawa_syo.html","川崎小3年出前授業実践例「昔からつたわる地いきの行事」")</f>
        <v>川崎小3年出前授業実践例「昔からつたわる地いきの行事」</v>
      </c>
      <c r="R1353" s="142" t="s">
        <v>3422</v>
      </c>
    </row>
    <row r="1354" spans="1:18" s="139" customFormat="1" ht="28.5" customHeight="1" x14ac:dyDescent="0.15">
      <c r="A1354" s="142" t="s">
        <v>2950</v>
      </c>
      <c r="B1354" s="142">
        <v>20</v>
      </c>
      <c r="C1354" s="143" t="s">
        <v>3572</v>
      </c>
      <c r="D1354" s="143">
        <v>1970</v>
      </c>
      <c r="E1354" s="144" t="s">
        <v>34</v>
      </c>
      <c r="F1354" s="143"/>
      <c r="G1354" s="143" t="s">
        <v>3587</v>
      </c>
      <c r="H1354" s="120" t="s">
        <v>464</v>
      </c>
      <c r="I1354" s="175" t="s">
        <v>1157</v>
      </c>
      <c r="J1354" s="120" t="s">
        <v>3588</v>
      </c>
      <c r="K1354" s="142"/>
      <c r="L1354" s="142" t="s">
        <v>3589</v>
      </c>
      <c r="M1354" s="142"/>
      <c r="N1354" s="12"/>
      <c r="O1354" s="12" t="e">
        <v>#VALUE!</v>
      </c>
      <c r="P1354" s="13" t="str">
        <f t="shared" si="22"/>
        <v/>
      </c>
      <c r="Q1354" s="192"/>
      <c r="R1354" s="142" t="s">
        <v>3422</v>
      </c>
    </row>
    <row r="1355" spans="1:18" s="139" customFormat="1" ht="28.5" customHeight="1" x14ac:dyDescent="0.15">
      <c r="A1355" s="142" t="s">
        <v>2950</v>
      </c>
      <c r="B1355" s="142">
        <v>20</v>
      </c>
      <c r="C1355" s="143" t="s">
        <v>3572</v>
      </c>
      <c r="D1355" s="143">
        <v>1970</v>
      </c>
      <c r="E1355" s="144" t="s">
        <v>34</v>
      </c>
      <c r="F1355" s="143"/>
      <c r="G1355" s="143" t="s">
        <v>3590</v>
      </c>
      <c r="H1355" s="120" t="s">
        <v>199</v>
      </c>
      <c r="I1355" s="175" t="s">
        <v>2475</v>
      </c>
      <c r="J1355" s="120" t="s">
        <v>3591</v>
      </c>
      <c r="K1355" s="142"/>
      <c r="L1355" s="142"/>
      <c r="M1355" s="142"/>
      <c r="N1355" s="12"/>
      <c r="O1355" s="12" t="e">
        <v>#VALUE!</v>
      </c>
      <c r="P1355" s="13" t="str">
        <f t="shared" si="22"/>
        <v/>
      </c>
      <c r="Q1355" s="192"/>
      <c r="R1355" s="142" t="s">
        <v>2462</v>
      </c>
    </row>
    <row r="1356" spans="1:18" s="139" customFormat="1" ht="15" customHeight="1" x14ac:dyDescent="0.15">
      <c r="A1356" s="142" t="s">
        <v>3592</v>
      </c>
      <c r="B1356" s="142">
        <v>20</v>
      </c>
      <c r="C1356" s="143" t="s">
        <v>3572</v>
      </c>
      <c r="D1356" s="143">
        <v>1970</v>
      </c>
      <c r="E1356" s="144" t="s">
        <v>34</v>
      </c>
      <c r="F1356" s="143"/>
      <c r="G1356" s="143" t="s">
        <v>3593</v>
      </c>
      <c r="H1356" s="120" t="s">
        <v>199</v>
      </c>
      <c r="I1356" s="175" t="s">
        <v>2367</v>
      </c>
      <c r="J1356" s="120" t="s">
        <v>3521</v>
      </c>
      <c r="K1356" s="142"/>
      <c r="L1356" s="142"/>
      <c r="M1356" s="142"/>
      <c r="N1356" s="12"/>
      <c r="O1356" s="12" t="e">
        <v>#VALUE!</v>
      </c>
      <c r="P1356" s="13" t="str">
        <f t="shared" si="22"/>
        <v/>
      </c>
      <c r="Q1356" s="192"/>
      <c r="R1356" s="142" t="s">
        <v>2371</v>
      </c>
    </row>
    <row r="1357" spans="1:18" s="139" customFormat="1" ht="29.1" customHeight="1" x14ac:dyDescent="0.15">
      <c r="A1357" s="142" t="s">
        <v>3592</v>
      </c>
      <c r="B1357" s="142">
        <v>20</v>
      </c>
      <c r="C1357" s="143" t="s">
        <v>3572</v>
      </c>
      <c r="D1357" s="143">
        <v>1970</v>
      </c>
      <c r="E1357" s="144" t="s">
        <v>20</v>
      </c>
      <c r="F1357" s="143"/>
      <c r="G1357" s="143" t="s">
        <v>3594</v>
      </c>
      <c r="H1357" s="120" t="s">
        <v>1336</v>
      </c>
      <c r="I1357" s="175" t="s">
        <v>2393</v>
      </c>
      <c r="J1357" s="120" t="s">
        <v>3595</v>
      </c>
      <c r="K1357" s="142"/>
      <c r="L1357" s="142"/>
      <c r="M1357" s="142"/>
      <c r="N1357" s="12" t="s">
        <v>2992</v>
      </c>
      <c r="O1357" s="12" t="s">
        <v>2731</v>
      </c>
      <c r="P1357" s="13" t="str">
        <f t="shared" si="22"/>
        <v>日本の歴史の中の亀山／現代の亀山／教育と医療・福祉／保育園</v>
      </c>
      <c r="Q1357" s="192"/>
      <c r="R1357" s="142" t="s">
        <v>2462</v>
      </c>
    </row>
    <row r="1358" spans="1:18" s="139" customFormat="1" ht="28.5" customHeight="1" x14ac:dyDescent="0.15">
      <c r="A1358" s="142" t="s">
        <v>2941</v>
      </c>
      <c r="B1358" s="142">
        <v>20</v>
      </c>
      <c r="C1358" s="143" t="s">
        <v>3572</v>
      </c>
      <c r="D1358" s="143">
        <v>1970</v>
      </c>
      <c r="E1358" s="144" t="s">
        <v>20</v>
      </c>
      <c r="F1358" s="143"/>
      <c r="G1358" s="143" t="s">
        <v>3596</v>
      </c>
      <c r="H1358" s="120" t="s">
        <v>199</v>
      </c>
      <c r="I1358" s="175" t="s">
        <v>2593</v>
      </c>
      <c r="J1358" s="120" t="s">
        <v>3597</v>
      </c>
      <c r="K1358" s="142"/>
      <c r="L1358" s="142"/>
      <c r="M1358" s="142"/>
      <c r="N1358" s="12"/>
      <c r="O1358" s="12" t="e">
        <v>#VALUE!</v>
      </c>
      <c r="P1358" s="13" t="str">
        <f t="shared" si="22"/>
        <v/>
      </c>
      <c r="Q1358" s="192"/>
      <c r="R1358" s="142" t="s">
        <v>2371</v>
      </c>
    </row>
    <row r="1359" spans="1:18" s="139" customFormat="1" ht="15" customHeight="1" x14ac:dyDescent="0.15">
      <c r="A1359" s="142" t="s">
        <v>2375</v>
      </c>
      <c r="B1359" s="142">
        <v>20</v>
      </c>
      <c r="C1359" s="143" t="s">
        <v>3598</v>
      </c>
      <c r="D1359" s="143">
        <v>1971</v>
      </c>
      <c r="E1359" s="144" t="s">
        <v>20</v>
      </c>
      <c r="F1359" s="143"/>
      <c r="G1359" s="143" t="s">
        <v>3599</v>
      </c>
      <c r="H1359" s="120" t="s">
        <v>250</v>
      </c>
      <c r="I1359" s="175" t="s">
        <v>2247</v>
      </c>
      <c r="J1359" s="142" t="s">
        <v>3600</v>
      </c>
      <c r="K1359" s="142"/>
      <c r="L1359" s="142"/>
      <c r="M1359" s="142"/>
      <c r="N1359" s="12"/>
      <c r="O1359" s="12" t="e">
        <v>#VALUE!</v>
      </c>
      <c r="P1359" s="13" t="str">
        <f t="shared" si="22"/>
        <v/>
      </c>
      <c r="Q1359" s="158"/>
      <c r="R1359" s="142" t="s">
        <v>3422</v>
      </c>
    </row>
    <row r="1360" spans="1:18" s="139" customFormat="1" ht="28.5" customHeight="1" x14ac:dyDescent="0.15">
      <c r="A1360" s="142" t="s">
        <v>2375</v>
      </c>
      <c r="B1360" s="142">
        <v>20</v>
      </c>
      <c r="C1360" s="143" t="s">
        <v>3598</v>
      </c>
      <c r="D1360" s="143">
        <v>1971</v>
      </c>
      <c r="E1360" s="144" t="s">
        <v>20</v>
      </c>
      <c r="F1360" s="143"/>
      <c r="G1360" s="143" t="s">
        <v>3601</v>
      </c>
      <c r="H1360" s="120" t="s">
        <v>250</v>
      </c>
      <c r="I1360" s="175" t="s">
        <v>2247</v>
      </c>
      <c r="J1360" s="142" t="s">
        <v>3602</v>
      </c>
      <c r="K1360" s="142"/>
      <c r="L1360" s="142"/>
      <c r="M1360" s="142"/>
      <c r="N1360" s="12" t="s">
        <v>2919</v>
      </c>
      <c r="O1360" s="12" t="s">
        <v>2731</v>
      </c>
      <c r="P1360" s="13" t="str">
        <f t="shared" si="22"/>
        <v>日本の歴史の中の亀山／現代の亀山／教育と医療・福祉／保育園</v>
      </c>
      <c r="Q1360" s="158"/>
      <c r="R1360" s="142" t="s">
        <v>3422</v>
      </c>
    </row>
    <row r="1361" spans="1:18" s="139" customFormat="1" ht="30.75" customHeight="1" x14ac:dyDescent="0.15">
      <c r="A1361" s="142" t="s">
        <v>2375</v>
      </c>
      <c r="B1361" s="142">
        <v>20</v>
      </c>
      <c r="C1361" s="143" t="s">
        <v>3598</v>
      </c>
      <c r="D1361" s="143">
        <v>1971</v>
      </c>
      <c r="E1361" s="144" t="s">
        <v>20</v>
      </c>
      <c r="F1361" s="143"/>
      <c r="G1361" s="143" t="s">
        <v>3603</v>
      </c>
      <c r="H1361" s="142" t="s">
        <v>156</v>
      </c>
      <c r="I1361" s="175" t="s">
        <v>3604</v>
      </c>
      <c r="J1361" s="142" t="s">
        <v>3605</v>
      </c>
      <c r="K1361" s="142"/>
      <c r="L1361" s="142"/>
      <c r="M1361" s="142"/>
      <c r="N1361" s="23"/>
      <c r="O1361" s="23" t="e">
        <v>#VALUE!</v>
      </c>
      <c r="P1361" s="24" t="str">
        <f t="shared" si="22"/>
        <v/>
      </c>
      <c r="Q1361" s="25" t="str">
        <f>HYPERLINK("http:/kameyamarekihaku.jp/sisi/RekisiHP/kingendai/quiz/kawa.hasi.mici/hasi.kawa.michi.html","市史近代・現代ページ 道・橋・川クイズ")</f>
        <v>市史近代・現代ページ 道・橋・川クイズ</v>
      </c>
      <c r="R1361" s="142" t="s">
        <v>3606</v>
      </c>
    </row>
    <row r="1362" spans="1:18" s="139" customFormat="1" ht="92.25" customHeight="1" x14ac:dyDescent="0.15">
      <c r="A1362" s="142" t="s">
        <v>2375</v>
      </c>
      <c r="B1362" s="142">
        <v>20</v>
      </c>
      <c r="C1362" s="143" t="s">
        <v>3598</v>
      </c>
      <c r="D1362" s="143">
        <v>1971</v>
      </c>
      <c r="E1362" s="144" t="s">
        <v>20</v>
      </c>
      <c r="F1362" s="143"/>
      <c r="G1362" s="143" t="s">
        <v>3607</v>
      </c>
      <c r="H1362" s="142"/>
      <c r="I1362" s="143"/>
      <c r="J1362" s="142"/>
      <c r="K1362" s="142"/>
      <c r="L1362" s="25" t="str">
        <f>HYPERLINK("http://kameyamarekihaku.jp/sisi/RekisiHP/kingendai/saigai/gi.html?pf=syowa0201-001.jpg&amp;pn=1971%E5%B9%B48%E6%9C%8830%E6%97%A5%E3%81%AE%E5%8F%B0%E9%A2%A823%E5%8F%B7%E3%81%AB%E3%82%88%E3%82%8B%E8%A2%AB%E5%AE%B3","画像史料：広報かめやまの記事")</f>
        <v>画像史料：広報かめやまの記事</v>
      </c>
      <c r="M1362" s="142"/>
      <c r="N1362" s="23" t="s">
        <v>3608</v>
      </c>
      <c r="O1362" s="23" t="s">
        <v>3609</v>
      </c>
      <c r="P1362" s="24" t="str">
        <f t="shared" si="22"/>
        <v>日本の歴史の中の亀山／現代の亀山／自然災害／台風や集中豪雨による水害／1971年（昭和46）９月26日台風29号</v>
      </c>
      <c r="Q1362" s="25" t="str">
        <f>HYPERLINK("http://kameyamarekihaku.jp/sisi/RekisiHP/kingendai/saigai/saigai-showa/saigai-showa.html","市史近代・現代ページ　亀山の災害 昭和時代の災害一覧")</f>
        <v>市史近代・現代ページ　亀山の災害 昭和時代の災害一覧</v>
      </c>
      <c r="R1362" s="142" t="s">
        <v>3610</v>
      </c>
    </row>
    <row r="1363" spans="1:18" s="139" customFormat="1" ht="45.95" customHeight="1" x14ac:dyDescent="0.15">
      <c r="A1363" s="142" t="s">
        <v>2375</v>
      </c>
      <c r="B1363" s="142">
        <v>20</v>
      </c>
      <c r="C1363" s="143" t="s">
        <v>3598</v>
      </c>
      <c r="D1363" s="143">
        <v>1971</v>
      </c>
      <c r="E1363" s="144" t="s">
        <v>20</v>
      </c>
      <c r="F1363" s="143"/>
      <c r="G1363" s="143" t="s">
        <v>3611</v>
      </c>
      <c r="H1363" s="142"/>
      <c r="I1363" s="143"/>
      <c r="J1363" s="142"/>
      <c r="K1363" s="142"/>
      <c r="L1363" s="25" t="str">
        <f>HYPERLINK("http://kameyamarekihaku.jp/sisi/RekisiHP/kingendai/saigai/gi.html?pf=syowa0201-002.jpg&amp;pn=1971%E5%B9%B49%E6%9C%8826%E6%97%A5%E3%81%AE%E5%8F%B0%E9%A2%A829%E5%8F%B7%E3%81%AB%E3%82%88%E3%82%8B%E8%A2%AB%E5%AE%B3","画像史料：広報かめやまの記事")</f>
        <v>画像史料：広報かめやまの記事</v>
      </c>
      <c r="M1363" s="142"/>
      <c r="N1363" s="23"/>
      <c r="O1363" s="23" t="e">
        <v>#VALUE!</v>
      </c>
      <c r="P1363" s="24" t="str">
        <f t="shared" si="22"/>
        <v/>
      </c>
      <c r="Q1363" s="25" t="str">
        <f>HYPERLINK("http://kameyamarekihaku.jp/sisi/RekisiHP/kingendai/saigai/saigai-showa/saigai-showa.html","市史近代・現代ページ　亀山の災害 昭和時代の災害一覧")</f>
        <v>市史近代・現代ページ　亀山の災害 昭和時代の災害一覧</v>
      </c>
      <c r="R1363" s="142" t="s">
        <v>3612</v>
      </c>
    </row>
    <row r="1364" spans="1:18" s="139" customFormat="1" ht="30" customHeight="1" x14ac:dyDescent="0.15">
      <c r="A1364" s="142" t="s">
        <v>2375</v>
      </c>
      <c r="B1364" s="142">
        <v>20</v>
      </c>
      <c r="C1364" s="143" t="s">
        <v>3598</v>
      </c>
      <c r="D1364" s="143">
        <v>1971</v>
      </c>
      <c r="E1364" s="144" t="s">
        <v>20</v>
      </c>
      <c r="F1364" s="143"/>
      <c r="G1364" s="143" t="s">
        <v>3613</v>
      </c>
      <c r="H1364" s="142" t="s">
        <v>156</v>
      </c>
      <c r="I1364" s="143" t="s">
        <v>3614</v>
      </c>
      <c r="J1364" s="142" t="s">
        <v>3615</v>
      </c>
      <c r="K1364" s="142"/>
      <c r="L1364" s="142"/>
      <c r="M1364" s="142"/>
      <c r="N1364" s="32"/>
      <c r="O1364" s="32" t="e">
        <v>#VALUE!</v>
      </c>
      <c r="P1364" s="33" t="str">
        <f t="shared" si="22"/>
        <v/>
      </c>
      <c r="Q1364" s="48" t="str">
        <f>HYPERLINK("http:/kameyamarekihaku.jp/sisi/tuusiHP_next/tuusi-index.html#kingendai0902","市史通史編 近代・現代第9章第2節")</f>
        <v>市史通史編 近代・現代第9章第2節</v>
      </c>
      <c r="R1364" s="142" t="s">
        <v>3422</v>
      </c>
    </row>
    <row r="1365" spans="1:18" s="139" customFormat="1" ht="28.5" customHeight="1" x14ac:dyDescent="0.15">
      <c r="A1365" s="142" t="s">
        <v>2375</v>
      </c>
      <c r="B1365" s="142">
        <v>20</v>
      </c>
      <c r="C1365" s="143" t="s">
        <v>3598</v>
      </c>
      <c r="D1365" s="143">
        <v>1971</v>
      </c>
      <c r="E1365" s="144" t="s">
        <v>20</v>
      </c>
      <c r="F1365" s="143"/>
      <c r="G1365" s="143" t="s">
        <v>3616</v>
      </c>
      <c r="H1365" s="142" t="s">
        <v>199</v>
      </c>
      <c r="I1365" s="143"/>
      <c r="J1365" s="142"/>
      <c r="K1365" s="142"/>
      <c r="L1365" s="142"/>
      <c r="M1365" s="142"/>
      <c r="N1365" s="12"/>
      <c r="O1365" s="12" t="e">
        <v>#VALUE!</v>
      </c>
      <c r="P1365" s="13" t="str">
        <f t="shared" si="22"/>
        <v/>
      </c>
      <c r="Q1365" s="158"/>
      <c r="R1365" s="142" t="s">
        <v>2371</v>
      </c>
    </row>
    <row r="1366" spans="1:18" s="139" customFormat="1" ht="28.15" customHeight="1" x14ac:dyDescent="0.15">
      <c r="A1366" s="142" t="s">
        <v>2375</v>
      </c>
      <c r="B1366" s="142">
        <v>20</v>
      </c>
      <c r="C1366" s="143" t="s">
        <v>3598</v>
      </c>
      <c r="D1366" s="143">
        <v>1971</v>
      </c>
      <c r="E1366" s="144" t="s">
        <v>20</v>
      </c>
      <c r="F1366" s="143"/>
      <c r="G1366" s="143" t="s">
        <v>3617</v>
      </c>
      <c r="H1366" s="142" t="s">
        <v>199</v>
      </c>
      <c r="I1366" s="143" t="s">
        <v>3618</v>
      </c>
      <c r="J1366" s="142" t="s">
        <v>3619</v>
      </c>
      <c r="K1366" s="142"/>
      <c r="L1366" s="142"/>
      <c r="M1366" s="142"/>
      <c r="N1366" s="12"/>
      <c r="O1366" s="12" t="e">
        <v>#VALUE!</v>
      </c>
      <c r="P1366" s="13" t="str">
        <f t="shared" si="22"/>
        <v/>
      </c>
      <c r="Q1366" s="158"/>
      <c r="R1366" s="142" t="s">
        <v>2371</v>
      </c>
    </row>
    <row r="1367" spans="1:18" s="139" customFormat="1" ht="28.5" customHeight="1" x14ac:dyDescent="0.15">
      <c r="A1367" s="142" t="s">
        <v>2375</v>
      </c>
      <c r="B1367" s="142">
        <v>20</v>
      </c>
      <c r="C1367" s="143" t="s">
        <v>3598</v>
      </c>
      <c r="D1367" s="143">
        <v>1971</v>
      </c>
      <c r="E1367" s="144" t="s">
        <v>20</v>
      </c>
      <c r="F1367" s="143"/>
      <c r="G1367" s="143" t="s">
        <v>3620</v>
      </c>
      <c r="H1367" s="142" t="s">
        <v>199</v>
      </c>
      <c r="I1367" s="143"/>
      <c r="J1367" s="142"/>
      <c r="K1367" s="142"/>
      <c r="L1367" s="142"/>
      <c r="M1367" s="142"/>
      <c r="N1367" s="12"/>
      <c r="O1367" s="12" t="e">
        <v>#VALUE!</v>
      </c>
      <c r="P1367" s="13" t="str">
        <f t="shared" si="22"/>
        <v/>
      </c>
      <c r="Q1367" s="158"/>
      <c r="R1367" s="142" t="s">
        <v>2371</v>
      </c>
    </row>
    <row r="1368" spans="1:18" s="139" customFormat="1" ht="15" customHeight="1" x14ac:dyDescent="0.15">
      <c r="A1368" s="142" t="s">
        <v>2375</v>
      </c>
      <c r="B1368" s="142">
        <v>20</v>
      </c>
      <c r="C1368" s="143" t="s">
        <v>3598</v>
      </c>
      <c r="D1368" s="143">
        <v>1971</v>
      </c>
      <c r="E1368" s="144" t="s">
        <v>34</v>
      </c>
      <c r="F1368" s="143"/>
      <c r="G1368" s="143" t="s">
        <v>3621</v>
      </c>
      <c r="H1368" s="142" t="s">
        <v>1336</v>
      </c>
      <c r="I1368" s="143" t="s">
        <v>787</v>
      </c>
      <c r="J1368" s="76" t="str">
        <f>HYPERLINK("http://kameyamarekihaku.jp/sisi/koukoHP/archives/kabutojyouato/01/01-01/gi.html?pf=KBTJ0101-01-007.jpg&amp;pn=%20%E9%B9%BF%E4%BC%8F%E5%85%8E%E5%9F%8E%E8%B7%A1%E3%81%A8%E7%A5%9E%E7%A6%8F%E5%AF%BA%EF%BC%88%E5%8A%A0%E5%A4%AA%E5%B8%82%E5%A0%B4%EF%BC%89","新福寺")</f>
        <v>新福寺</v>
      </c>
      <c r="K1368" s="142"/>
      <c r="L1368" s="142"/>
      <c r="M1368" s="142"/>
      <c r="N1368" s="12"/>
      <c r="O1368" s="12" t="e">
        <v>#VALUE!</v>
      </c>
      <c r="P1368" s="13" t="str">
        <f t="shared" si="22"/>
        <v/>
      </c>
      <c r="Q1368" s="158"/>
      <c r="R1368" s="142" t="s">
        <v>2371</v>
      </c>
    </row>
    <row r="1369" spans="1:18" s="139" customFormat="1" ht="15" customHeight="1" x14ac:dyDescent="0.15">
      <c r="A1369" s="142" t="s">
        <v>2375</v>
      </c>
      <c r="B1369" s="142">
        <v>20</v>
      </c>
      <c r="C1369" s="143" t="s">
        <v>3622</v>
      </c>
      <c r="D1369" s="143">
        <v>1971</v>
      </c>
      <c r="E1369" s="144" t="s">
        <v>20</v>
      </c>
      <c r="F1369" s="143"/>
      <c r="G1369" s="143" t="s">
        <v>3623</v>
      </c>
      <c r="H1369" s="142" t="s">
        <v>1336</v>
      </c>
      <c r="I1369" s="143" t="s">
        <v>3624</v>
      </c>
      <c r="J1369" s="209" t="s">
        <v>3527</v>
      </c>
      <c r="K1369" s="142"/>
      <c r="L1369" s="142"/>
      <c r="M1369" s="142"/>
      <c r="N1369" s="12" t="s">
        <v>3625</v>
      </c>
      <c r="O1369" s="12" t="s">
        <v>2450</v>
      </c>
      <c r="P1369" s="13" t="str">
        <f t="shared" si="22"/>
        <v>学校のあゆみ／加太小学校のれきし</v>
      </c>
      <c r="Q1369" s="158"/>
      <c r="R1369" s="142" t="s">
        <v>2371</v>
      </c>
    </row>
    <row r="1370" spans="1:18" s="139" customFormat="1" ht="29.1" customHeight="1" x14ac:dyDescent="0.15">
      <c r="A1370" s="142" t="s">
        <v>2375</v>
      </c>
      <c r="B1370" s="142">
        <v>20</v>
      </c>
      <c r="C1370" s="143" t="s">
        <v>3622</v>
      </c>
      <c r="D1370" s="143">
        <v>1971</v>
      </c>
      <c r="E1370" s="144" t="s">
        <v>20</v>
      </c>
      <c r="F1370" s="143"/>
      <c r="G1370" s="143" t="s">
        <v>3626</v>
      </c>
      <c r="H1370" s="142" t="s">
        <v>199</v>
      </c>
      <c r="I1370" s="175" t="s">
        <v>2367</v>
      </c>
      <c r="J1370" s="142" t="s">
        <v>3627</v>
      </c>
      <c r="K1370" s="142"/>
      <c r="L1370" s="142"/>
      <c r="M1370" s="142"/>
      <c r="N1370" s="12" t="s">
        <v>3628</v>
      </c>
      <c r="O1370" s="12" t="s">
        <v>2421</v>
      </c>
      <c r="P1370" s="13" t="str">
        <f t="shared" si="22"/>
        <v>日本の歴史の中の亀山／現代の亀山／教育と医療・福祉／幼稚園</v>
      </c>
      <c r="Q1370" s="158"/>
      <c r="R1370" s="142" t="s">
        <v>2462</v>
      </c>
    </row>
    <row r="1371" spans="1:18" s="139" customFormat="1" ht="28.5" customHeight="1" x14ac:dyDescent="0.15">
      <c r="A1371" s="142" t="s">
        <v>2375</v>
      </c>
      <c r="B1371" s="142">
        <v>20</v>
      </c>
      <c r="C1371" s="143" t="s">
        <v>3598</v>
      </c>
      <c r="D1371" s="143">
        <v>1971</v>
      </c>
      <c r="E1371" s="144" t="s">
        <v>20</v>
      </c>
      <c r="F1371" s="143"/>
      <c r="G1371" s="143" t="s">
        <v>3629</v>
      </c>
      <c r="H1371" s="142" t="s">
        <v>199</v>
      </c>
      <c r="I1371" s="143"/>
      <c r="J1371" s="142"/>
      <c r="K1371" s="142"/>
      <c r="L1371" s="142"/>
      <c r="M1371" s="142"/>
      <c r="N1371" s="12" t="s">
        <v>2963</v>
      </c>
      <c r="O1371" s="12" t="s">
        <v>2356</v>
      </c>
      <c r="P1371" s="13" t="str">
        <f t="shared" si="22"/>
        <v>日本の歴史の中の亀山／現代の亀山／交通と通信／電話（電報電話局）</v>
      </c>
      <c r="Q1371" s="158"/>
      <c r="R1371" s="142" t="s">
        <v>2371</v>
      </c>
    </row>
    <row r="1372" spans="1:18" s="139" customFormat="1" ht="28.15" customHeight="1" x14ac:dyDescent="0.15">
      <c r="A1372" s="142" t="s">
        <v>2375</v>
      </c>
      <c r="B1372" s="142">
        <v>20</v>
      </c>
      <c r="C1372" s="143" t="s">
        <v>3598</v>
      </c>
      <c r="D1372" s="143">
        <v>1971</v>
      </c>
      <c r="E1372" s="144" t="s">
        <v>20</v>
      </c>
      <c r="F1372" s="143"/>
      <c r="G1372" s="143" t="s">
        <v>3630</v>
      </c>
      <c r="H1372" s="142" t="s">
        <v>199</v>
      </c>
      <c r="I1372" s="175" t="s">
        <v>2367</v>
      </c>
      <c r="J1372" s="142" t="s">
        <v>3631</v>
      </c>
      <c r="K1372" s="142"/>
      <c r="L1372" s="142"/>
      <c r="M1372" s="142"/>
      <c r="N1372" s="12"/>
      <c r="O1372" s="12" t="e">
        <v>#VALUE!</v>
      </c>
      <c r="P1372" s="13" t="str">
        <f t="shared" si="22"/>
        <v/>
      </c>
      <c r="Q1372" s="158"/>
      <c r="R1372" s="142" t="s">
        <v>2371</v>
      </c>
    </row>
    <row r="1373" spans="1:18" s="139" customFormat="1" ht="15" customHeight="1" x14ac:dyDescent="0.15">
      <c r="A1373" s="142" t="s">
        <v>2375</v>
      </c>
      <c r="B1373" s="142">
        <v>20</v>
      </c>
      <c r="C1373" s="143" t="s">
        <v>3632</v>
      </c>
      <c r="D1373" s="143">
        <v>1972</v>
      </c>
      <c r="E1373" s="144" t="s">
        <v>59</v>
      </c>
      <c r="F1373" s="143" t="s">
        <v>3633</v>
      </c>
      <c r="G1373" s="143"/>
      <c r="H1373" s="142"/>
      <c r="I1373" s="143"/>
      <c r="J1373" s="142"/>
      <c r="K1373" s="142"/>
      <c r="L1373" s="142"/>
      <c r="M1373" s="142"/>
      <c r="N1373" s="12"/>
      <c r="O1373" s="12" t="e">
        <v>#VALUE!</v>
      </c>
      <c r="P1373" s="13" t="str">
        <f t="shared" si="22"/>
        <v/>
      </c>
      <c r="Q1373" s="158"/>
      <c r="R1373" s="142"/>
    </row>
    <row r="1374" spans="1:18" s="139" customFormat="1" ht="50.25" customHeight="1" x14ac:dyDescent="0.15">
      <c r="A1374" s="142" t="s">
        <v>2375</v>
      </c>
      <c r="B1374" s="142">
        <v>20</v>
      </c>
      <c r="C1374" s="143" t="s">
        <v>3632</v>
      </c>
      <c r="D1374" s="143">
        <v>1972</v>
      </c>
      <c r="E1374" s="144" t="s">
        <v>59</v>
      </c>
      <c r="F1374" s="143" t="s">
        <v>3634</v>
      </c>
      <c r="G1374" s="143"/>
      <c r="H1374" s="142"/>
      <c r="I1374" s="143"/>
      <c r="J1374" s="142"/>
      <c r="K1374" s="142"/>
      <c r="L1374" s="142" t="s">
        <v>3635</v>
      </c>
      <c r="M1374" s="142"/>
      <c r="N1374" s="23"/>
      <c r="O1374" s="23" t="e">
        <v>#VALUE!</v>
      </c>
      <c r="P1374" s="24" t="str">
        <f t="shared" si="22"/>
        <v/>
      </c>
      <c r="Q1374" s="25"/>
      <c r="R1374" s="142"/>
    </row>
    <row r="1375" spans="1:18" s="139" customFormat="1" ht="15" customHeight="1" x14ac:dyDescent="0.15">
      <c r="A1375" s="142" t="s">
        <v>2375</v>
      </c>
      <c r="B1375" s="142">
        <v>20</v>
      </c>
      <c r="C1375" s="143" t="s">
        <v>3632</v>
      </c>
      <c r="D1375" s="143">
        <v>1972</v>
      </c>
      <c r="E1375" s="144" t="s">
        <v>59</v>
      </c>
      <c r="F1375" s="143" t="s">
        <v>3636</v>
      </c>
      <c r="G1375" s="143"/>
      <c r="H1375" s="142"/>
      <c r="I1375" s="143"/>
      <c r="J1375" s="142"/>
      <c r="K1375" s="142"/>
      <c r="L1375" s="142"/>
      <c r="M1375" s="142"/>
      <c r="N1375" s="12"/>
      <c r="O1375" s="12" t="e">
        <v>#VALUE!</v>
      </c>
      <c r="P1375" s="13" t="str">
        <f t="shared" si="22"/>
        <v/>
      </c>
      <c r="Q1375" s="158"/>
      <c r="R1375" s="142"/>
    </row>
    <row r="1376" spans="1:18" s="139" customFormat="1" ht="15" customHeight="1" x14ac:dyDescent="0.15">
      <c r="A1376" s="142" t="s">
        <v>2375</v>
      </c>
      <c r="B1376" s="142">
        <v>20</v>
      </c>
      <c r="C1376" s="143" t="s">
        <v>3632</v>
      </c>
      <c r="D1376" s="143">
        <v>1972</v>
      </c>
      <c r="E1376" s="144" t="s">
        <v>20</v>
      </c>
      <c r="F1376" s="161" t="s">
        <v>3637</v>
      </c>
      <c r="G1376" s="143"/>
      <c r="H1376" s="142"/>
      <c r="I1376" s="143"/>
      <c r="J1376" s="142"/>
      <c r="K1376" s="142"/>
      <c r="L1376" s="142"/>
      <c r="M1376" s="142"/>
      <c r="N1376" s="12"/>
      <c r="O1376" s="12" t="e">
        <v>#VALUE!</v>
      </c>
      <c r="P1376" s="13" t="str">
        <f t="shared" si="22"/>
        <v/>
      </c>
      <c r="Q1376" s="158"/>
      <c r="R1376" s="142"/>
    </row>
    <row r="1377" spans="1:18" s="139" customFormat="1" ht="28.5" customHeight="1" x14ac:dyDescent="0.15">
      <c r="A1377" s="142" t="s">
        <v>2375</v>
      </c>
      <c r="B1377" s="142">
        <v>20</v>
      </c>
      <c r="C1377" s="143" t="s">
        <v>3632</v>
      </c>
      <c r="D1377" s="143">
        <v>1972</v>
      </c>
      <c r="E1377" s="144" t="s">
        <v>20</v>
      </c>
      <c r="F1377" s="143"/>
      <c r="G1377" s="143" t="s">
        <v>3638</v>
      </c>
      <c r="H1377" s="142"/>
      <c r="I1377" s="143"/>
      <c r="J1377" s="142"/>
      <c r="K1377" s="142"/>
      <c r="L1377" s="142"/>
      <c r="M1377" s="142"/>
      <c r="N1377" s="12"/>
      <c r="O1377" s="12" t="e">
        <v>#VALUE!</v>
      </c>
      <c r="P1377" s="13" t="str">
        <f t="shared" si="22"/>
        <v/>
      </c>
      <c r="Q1377" s="158"/>
      <c r="R1377" s="142" t="s">
        <v>3422</v>
      </c>
    </row>
    <row r="1378" spans="1:18" s="139" customFormat="1" ht="30.4" customHeight="1" x14ac:dyDescent="0.15">
      <c r="A1378" s="142" t="s">
        <v>2375</v>
      </c>
      <c r="B1378" s="142">
        <v>20</v>
      </c>
      <c r="C1378" s="143" t="s">
        <v>3632</v>
      </c>
      <c r="D1378" s="143">
        <v>1972</v>
      </c>
      <c r="E1378" s="144" t="s">
        <v>20</v>
      </c>
      <c r="F1378" s="143"/>
      <c r="G1378" s="143" t="s">
        <v>3639</v>
      </c>
      <c r="H1378" s="142" t="s">
        <v>156</v>
      </c>
      <c r="I1378" s="143" t="s">
        <v>3640</v>
      </c>
      <c r="J1378" s="142" t="s">
        <v>3641</v>
      </c>
      <c r="K1378" s="142"/>
      <c r="L1378" s="142"/>
      <c r="M1378" s="142"/>
      <c r="N1378" s="12"/>
      <c r="O1378" s="12" t="e">
        <v>#VALUE!</v>
      </c>
      <c r="P1378" s="13" t="str">
        <f t="shared" si="22"/>
        <v/>
      </c>
      <c r="Q1378" s="158"/>
      <c r="R1378" s="142" t="s">
        <v>3422</v>
      </c>
    </row>
    <row r="1379" spans="1:18" s="139" customFormat="1" ht="15" customHeight="1" x14ac:dyDescent="0.15">
      <c r="A1379" s="142" t="s">
        <v>2375</v>
      </c>
      <c r="B1379" s="142">
        <v>20</v>
      </c>
      <c r="C1379" s="143" t="s">
        <v>3632</v>
      </c>
      <c r="D1379" s="143">
        <v>1972</v>
      </c>
      <c r="E1379" s="144" t="s">
        <v>20</v>
      </c>
      <c r="F1379" s="143"/>
      <c r="G1379" s="143" t="s">
        <v>3642</v>
      </c>
      <c r="H1379" s="142" t="s">
        <v>2191</v>
      </c>
      <c r="I1379" s="143" t="s">
        <v>3643</v>
      </c>
      <c r="J1379" s="142" t="s">
        <v>3644</v>
      </c>
      <c r="K1379" s="142"/>
      <c r="L1379" s="142"/>
      <c r="M1379" s="142"/>
      <c r="N1379" s="12"/>
      <c r="O1379" s="12" t="e">
        <v>#VALUE!</v>
      </c>
      <c r="P1379" s="13" t="str">
        <f t="shared" si="22"/>
        <v/>
      </c>
      <c r="Q1379" s="158"/>
      <c r="R1379" s="142" t="s">
        <v>3422</v>
      </c>
    </row>
    <row r="1380" spans="1:18" s="139" customFormat="1" ht="28.5" customHeight="1" x14ac:dyDescent="0.15">
      <c r="A1380" s="142" t="s">
        <v>2375</v>
      </c>
      <c r="B1380" s="142">
        <v>20</v>
      </c>
      <c r="C1380" s="143" t="s">
        <v>3632</v>
      </c>
      <c r="D1380" s="143">
        <v>1972</v>
      </c>
      <c r="E1380" s="144" t="s">
        <v>20</v>
      </c>
      <c r="F1380" s="143"/>
      <c r="G1380" s="143" t="s">
        <v>3645</v>
      </c>
      <c r="H1380" s="142" t="s">
        <v>2160</v>
      </c>
      <c r="I1380" s="143" t="s">
        <v>2161</v>
      </c>
      <c r="J1380" s="142" t="s">
        <v>3646</v>
      </c>
      <c r="K1380" s="142"/>
      <c r="L1380" s="142"/>
      <c r="M1380" s="142"/>
      <c r="N1380" s="12"/>
      <c r="O1380" s="12" t="e">
        <v>#VALUE!</v>
      </c>
      <c r="P1380" s="13" t="str">
        <f t="shared" si="22"/>
        <v/>
      </c>
      <c r="Q1380" s="158"/>
      <c r="R1380" s="142" t="s">
        <v>3422</v>
      </c>
    </row>
    <row r="1381" spans="1:18" s="139" customFormat="1" ht="15" customHeight="1" x14ac:dyDescent="0.15">
      <c r="A1381" s="142" t="s">
        <v>2375</v>
      </c>
      <c r="B1381" s="142">
        <v>20</v>
      </c>
      <c r="C1381" s="143" t="s">
        <v>3632</v>
      </c>
      <c r="D1381" s="143">
        <v>1972</v>
      </c>
      <c r="E1381" s="144" t="s">
        <v>20</v>
      </c>
      <c r="F1381" s="143"/>
      <c r="G1381" s="143" t="s">
        <v>3647</v>
      </c>
      <c r="H1381" s="142"/>
      <c r="I1381" s="143"/>
      <c r="J1381" s="142"/>
      <c r="K1381" s="142"/>
      <c r="L1381" s="142"/>
      <c r="M1381" s="142"/>
      <c r="N1381" s="12"/>
      <c r="O1381" s="12" t="e">
        <v>#VALUE!</v>
      </c>
      <c r="P1381" s="13" t="str">
        <f t="shared" si="22"/>
        <v/>
      </c>
      <c r="Q1381" s="158"/>
      <c r="R1381" s="142" t="s">
        <v>3422</v>
      </c>
    </row>
    <row r="1382" spans="1:18" s="6" customFormat="1" ht="17.25" customHeight="1" x14ac:dyDescent="0.15">
      <c r="A1382" s="145" t="s">
        <v>2375</v>
      </c>
      <c r="B1382" s="88">
        <v>20</v>
      </c>
      <c r="C1382" s="163" t="s">
        <v>3632</v>
      </c>
      <c r="D1382" s="163">
        <v>1972</v>
      </c>
      <c r="E1382" s="147" t="s">
        <v>34</v>
      </c>
      <c r="F1382" s="163"/>
      <c r="G1382" s="349" t="s">
        <v>3648</v>
      </c>
      <c r="H1382" s="88" t="s">
        <v>684</v>
      </c>
      <c r="I1382" s="163" t="s">
        <v>129</v>
      </c>
      <c r="J1382" s="16" t="str">
        <f>HYPERLINK("http://kameyamarekihaku.jp/sisi/koukoHP/archives/idagawa-tyausu/06/06-01/gi.html?pf=IDT0601-05-004.jpg&amp;pn=0009890%E7%9F%B3%E5%AE%A4%E6%AD%A3%E9%9D%A21","井田川茶臼山古墳")</f>
        <v>井田川茶臼山古墳</v>
      </c>
      <c r="K1382" s="88"/>
      <c r="L1382" s="16" t="str">
        <f>HYPERLINK("http://kameyamarekihaku.jp/21theme/zone02/gi/gi.htm?pf=shasin1.JPG&amp;pn=%E5%86%99%E7%9C%9F1%E3%80%80%E4%BA%95%E7%94%B0%E5%B7%9D%E8%8C%B6%E8%87%BC%E5%B1%B1%E5%8F%A4%E5%A2%B3%E7%9F%B3%E5%AE%A4%E5%BE%A9%E5%85%83%E6%A8%A1%E5%9E%8B","井田川茶臼山古墳石室模型")</f>
        <v>井田川茶臼山古墳石室模型</v>
      </c>
      <c r="M1382" s="16" t="str">
        <f>HYPERLINK("http://kameyamarekihaku.jp/21theme/zone02/gi/gi.htm?pf=shasin6.JPG&amp;pn=%E7%8F%BE%E5%9C%A8%E3%81%AE%E5%8F%A4%E5%A2%B3%E5%85%AC%E5%9C%92","古墳公園")</f>
        <v>古墳公園</v>
      </c>
      <c r="N1382" s="310" t="s">
        <v>3649</v>
      </c>
      <c r="O1382" s="310" t="s">
        <v>126</v>
      </c>
      <c r="P1382" s="311" t="str">
        <f t="shared" si="22"/>
        <v>日本の歴史の中の亀山／古代の亀山／亀山のあけぼの／大王の時代と亀山の古墳／亀山の古墳／さまざまな古墳（１）</v>
      </c>
      <c r="Q1382" s="21" t="str">
        <f>HYPERLINK("http:/kameyamarekihaku.jp/sisi/KoukoHP/iseki.html","市史考古編遺跡一覧No.20")</f>
        <v>市史考古編遺跡一覧No.20</v>
      </c>
      <c r="R1382" s="347" t="s">
        <v>3650</v>
      </c>
    </row>
    <row r="1383" spans="1:18" s="6" customFormat="1" ht="12.75" customHeight="1" x14ac:dyDescent="0.15">
      <c r="A1383" s="136"/>
      <c r="B1383" s="90"/>
      <c r="C1383" s="165"/>
      <c r="D1383" s="165"/>
      <c r="E1383" s="138"/>
      <c r="F1383" s="165"/>
      <c r="G1383" s="350"/>
      <c r="H1383" s="90"/>
      <c r="I1383" s="165"/>
      <c r="J1383" s="27"/>
      <c r="K1383" s="90"/>
      <c r="L1383" s="39" t="s">
        <v>3651</v>
      </c>
      <c r="M1383" s="27"/>
      <c r="N1383" s="317"/>
      <c r="O1383" s="317" t="e">
        <v>#VALUE!</v>
      </c>
      <c r="P1383" s="318" t="str">
        <f t="shared" si="22"/>
        <v/>
      </c>
      <c r="Q1383" s="344" t="str">
        <f>HYPERLINK("http:/kameyamarekihaku.jp/sisi/koukoHP/archives/siroyama/01/01-17/SROY01-.html","亀山市歴史アーカイブス　みどり町城山古墳")</f>
        <v>亀山市歴史アーカイブス　みどり町城山古墳</v>
      </c>
      <c r="R1383" s="332"/>
    </row>
    <row r="1384" spans="1:18" s="6" customFormat="1" ht="33.75" customHeight="1" x14ac:dyDescent="0.15">
      <c r="A1384" s="136"/>
      <c r="B1384" s="90"/>
      <c r="C1384" s="165"/>
      <c r="D1384" s="165"/>
      <c r="E1384" s="138"/>
      <c r="F1384" s="165"/>
      <c r="G1384" s="350"/>
      <c r="H1384" s="90"/>
      <c r="I1384" s="165"/>
      <c r="J1384" s="90"/>
      <c r="K1384" s="90"/>
      <c r="L1384" s="27" t="str">
        <f>HYPERLINK("http://kameyamarekihaku.jp/sisi/koukoHP/archives/siroyama/01/01-17/gi.html?pf=SROY01-08.JPG&amp;pn=%E5%89%8D%E6%96%B9%E9%83%A8%E8%91%BA%E7%9F%B3%E3%83%BB%E5%9F%B4%E8%BC%AA%E5%88%97%28%E6%9D%B1%E3%81%8B%E3%82%89%29","城山古墳埴輪")</f>
        <v>城山古墳埴輪</v>
      </c>
      <c r="M1384" s="27" t="str">
        <f>HYPERLINK("http://kameyamarekihaku.jp/sisi/KoukoHP/archives/idagawa-ue/01/01-01/gi.html?pf=IDU0101-01-002.jpg&amp;pn=%E7%94%BB%E6%96%87%E5%B8%AF%E7%A5%9E%E7%8D%A3%E9%8F%A1","画文帯神獣鏡")</f>
        <v>画文帯神獣鏡</v>
      </c>
      <c r="N1384" s="317"/>
      <c r="O1384" s="317" t="e">
        <v>#VALUE!</v>
      </c>
      <c r="P1384" s="318" t="str">
        <f t="shared" si="22"/>
        <v/>
      </c>
      <c r="Q1384" s="344"/>
      <c r="R1384" s="332"/>
    </row>
    <row r="1385" spans="1:18" s="6" customFormat="1" ht="63" customHeight="1" x14ac:dyDescent="0.15">
      <c r="A1385" s="151"/>
      <c r="B1385" s="91"/>
      <c r="C1385" s="169"/>
      <c r="D1385" s="169"/>
      <c r="E1385" s="153"/>
      <c r="F1385" s="169"/>
      <c r="G1385" s="374"/>
      <c r="H1385" s="91"/>
      <c r="I1385" s="169"/>
      <c r="J1385" s="91"/>
      <c r="K1385" s="91"/>
      <c r="L1385" s="18"/>
      <c r="M1385" s="18"/>
      <c r="N1385" s="29" t="s">
        <v>3652</v>
      </c>
      <c r="O1385" s="29" t="s">
        <v>145</v>
      </c>
      <c r="P1385" s="30" t="str">
        <f t="shared" si="22"/>
        <v>日本の歴史の中の亀山／古代の亀山／亀山のあけぼの／大王の時代と亀山の古墳／亀山の古墳文化／銅鏡</v>
      </c>
      <c r="Q1385" s="46" t="str">
        <f>HYPERLINK("http:/kameyamarekihaku.jp/sisi/tuusiHP_next/tuusi-index.html#kingendai0904","市史通史編 近代・現代第9章第4節")</f>
        <v>市史通史編 近代・現代第9章第4節</v>
      </c>
      <c r="R1385" s="348"/>
    </row>
    <row r="1386" spans="1:18" s="6" customFormat="1" ht="15" customHeight="1" x14ac:dyDescent="0.15">
      <c r="A1386" s="142" t="s">
        <v>2375</v>
      </c>
      <c r="B1386" s="120">
        <v>20</v>
      </c>
      <c r="C1386" s="175" t="s">
        <v>3632</v>
      </c>
      <c r="D1386" s="175">
        <v>1972</v>
      </c>
      <c r="E1386" s="144" t="s">
        <v>20</v>
      </c>
      <c r="F1386" s="175"/>
      <c r="G1386" s="175" t="s">
        <v>3653</v>
      </c>
      <c r="H1386" s="120" t="s">
        <v>3654</v>
      </c>
      <c r="I1386" s="175" t="s">
        <v>55</v>
      </c>
      <c r="J1386" s="120" t="s">
        <v>3655</v>
      </c>
      <c r="K1386" s="120"/>
      <c r="L1386" s="120"/>
      <c r="M1386" s="120"/>
      <c r="N1386" s="12" t="s">
        <v>2103</v>
      </c>
      <c r="O1386" s="12" t="s">
        <v>365</v>
      </c>
      <c r="P1386" s="13" t="str">
        <f t="shared" si="22"/>
        <v>亀山のいいとこさがし／景色のよいところや歴史を知る手掛かりとなるもの／川</v>
      </c>
      <c r="Q1386" s="192"/>
      <c r="R1386" s="142" t="s">
        <v>3422</v>
      </c>
    </row>
    <row r="1387" spans="1:18" s="6" customFormat="1" ht="39.4" customHeight="1" x14ac:dyDescent="0.15">
      <c r="A1387" s="142" t="s">
        <v>2375</v>
      </c>
      <c r="B1387" s="120">
        <v>20</v>
      </c>
      <c r="C1387" s="175" t="s">
        <v>3632</v>
      </c>
      <c r="D1387" s="175">
        <v>1972</v>
      </c>
      <c r="E1387" s="144" t="s">
        <v>20</v>
      </c>
      <c r="F1387" s="175"/>
      <c r="G1387" s="175" t="s">
        <v>3656</v>
      </c>
      <c r="H1387" s="120"/>
      <c r="I1387" s="175"/>
      <c r="J1387" s="120"/>
      <c r="K1387" s="120"/>
      <c r="L1387" s="120"/>
      <c r="M1387" s="120"/>
      <c r="N1387" s="23"/>
      <c r="O1387" s="23" t="e">
        <v>#VALUE!</v>
      </c>
      <c r="P1387" s="24" t="str">
        <f t="shared" si="22"/>
        <v/>
      </c>
      <c r="Q1387" s="25" t="str">
        <f>HYPERLINK("http://kameyamarekihaku.jp/sisi/RekisiHP/kingendai/saigai/saigai-showa/saigai-showa-47.html","市史近代・現代ページ　亀山の災害")</f>
        <v>市史近代・現代ページ　亀山の災害</v>
      </c>
      <c r="R1387" s="142" t="s">
        <v>3612</v>
      </c>
    </row>
    <row r="1388" spans="1:18" s="6" customFormat="1" ht="45" customHeight="1" x14ac:dyDescent="0.15">
      <c r="A1388" s="142" t="s">
        <v>2375</v>
      </c>
      <c r="B1388" s="120">
        <v>20</v>
      </c>
      <c r="C1388" s="175" t="s">
        <v>3632</v>
      </c>
      <c r="D1388" s="175">
        <v>1972</v>
      </c>
      <c r="E1388" s="144" t="s">
        <v>20</v>
      </c>
      <c r="F1388" s="175"/>
      <c r="G1388" s="175" t="s">
        <v>3657</v>
      </c>
      <c r="H1388" s="120"/>
      <c r="I1388" s="175"/>
      <c r="J1388" s="120"/>
      <c r="K1388" s="120"/>
      <c r="L1388" s="120"/>
      <c r="M1388" s="120"/>
      <c r="N1388" s="12"/>
      <c r="O1388" s="12" t="e">
        <v>#VALUE!</v>
      </c>
      <c r="P1388" s="13" t="str">
        <f t="shared" si="22"/>
        <v/>
      </c>
      <c r="Q1388" s="192"/>
      <c r="R1388" s="142" t="s">
        <v>3422</v>
      </c>
    </row>
    <row r="1389" spans="1:18" s="6" customFormat="1" ht="30" customHeight="1" x14ac:dyDescent="0.15">
      <c r="A1389" s="142" t="s">
        <v>2375</v>
      </c>
      <c r="B1389" s="120">
        <v>20</v>
      </c>
      <c r="C1389" s="175" t="s">
        <v>3632</v>
      </c>
      <c r="D1389" s="175">
        <v>1972</v>
      </c>
      <c r="E1389" s="144" t="s">
        <v>20</v>
      </c>
      <c r="F1389" s="175"/>
      <c r="G1389" s="175" t="s">
        <v>3658</v>
      </c>
      <c r="H1389" s="120" t="s">
        <v>3537</v>
      </c>
      <c r="I1389" s="175" t="s">
        <v>3659</v>
      </c>
      <c r="J1389" s="120" t="s">
        <v>3660</v>
      </c>
      <c r="K1389" s="120"/>
      <c r="L1389" s="120"/>
      <c r="M1389" s="120"/>
      <c r="N1389" s="23"/>
      <c r="O1389" s="23" t="e">
        <v>#VALUE!</v>
      </c>
      <c r="P1389" s="24" t="str">
        <f t="shared" si="22"/>
        <v/>
      </c>
      <c r="Q1389" s="47" t="str">
        <f>HYPERLINK("http:/kameyamarekihaku.jp/sisi/RekisiHP/kingendai/quiz/kawa.hasi.mici/hasi.kawa.michi.html","市史近代・現代ページ 道・橋・川クイズ")</f>
        <v>市史近代・現代ページ 道・橋・川クイズ</v>
      </c>
      <c r="R1389" s="142" t="s">
        <v>3612</v>
      </c>
    </row>
    <row r="1390" spans="1:18" s="6" customFormat="1" ht="29.25" customHeight="1" x14ac:dyDescent="0.15">
      <c r="A1390" s="142" t="s">
        <v>2375</v>
      </c>
      <c r="B1390" s="120">
        <v>20</v>
      </c>
      <c r="C1390" s="175" t="s">
        <v>3632</v>
      </c>
      <c r="D1390" s="175">
        <v>1972</v>
      </c>
      <c r="E1390" s="144" t="s">
        <v>20</v>
      </c>
      <c r="F1390" s="175"/>
      <c r="G1390" s="175" t="s">
        <v>3661</v>
      </c>
      <c r="H1390" s="120" t="s">
        <v>250</v>
      </c>
      <c r="I1390" s="175" t="s">
        <v>2247</v>
      </c>
      <c r="J1390" s="120" t="s">
        <v>3662</v>
      </c>
      <c r="K1390" s="120"/>
      <c r="L1390" s="120"/>
      <c r="M1390" s="120"/>
      <c r="N1390" s="12" t="s">
        <v>3663</v>
      </c>
      <c r="O1390" s="12" t="s">
        <v>2421</v>
      </c>
      <c r="P1390" s="13" t="str">
        <f t="shared" si="22"/>
        <v>日本の歴史の中の亀山／現代の亀山／教育と医療・福祉／幼稚園</v>
      </c>
      <c r="Q1390" s="192"/>
      <c r="R1390" s="142" t="s">
        <v>3422</v>
      </c>
    </row>
    <row r="1391" spans="1:18" s="6" customFormat="1" ht="28.5" customHeight="1" x14ac:dyDescent="0.15">
      <c r="A1391" s="142" t="s">
        <v>2375</v>
      </c>
      <c r="B1391" s="120">
        <v>20</v>
      </c>
      <c r="C1391" s="175" t="s">
        <v>3632</v>
      </c>
      <c r="D1391" s="175">
        <v>1972</v>
      </c>
      <c r="E1391" s="144" t="s">
        <v>20</v>
      </c>
      <c r="F1391" s="175"/>
      <c r="G1391" s="175" t="s">
        <v>3664</v>
      </c>
      <c r="H1391" s="120" t="s">
        <v>199</v>
      </c>
      <c r="I1391" s="175"/>
      <c r="J1391" s="120"/>
      <c r="K1391" s="120"/>
      <c r="L1391" s="120"/>
      <c r="M1391" s="120"/>
      <c r="N1391" s="12"/>
      <c r="O1391" s="12" t="e">
        <v>#VALUE!</v>
      </c>
      <c r="P1391" s="13" t="str">
        <f t="shared" si="22"/>
        <v/>
      </c>
      <c r="Q1391" s="192"/>
      <c r="R1391" s="142" t="s">
        <v>2371</v>
      </c>
    </row>
    <row r="1392" spans="1:18" s="6" customFormat="1" ht="15" customHeight="1" x14ac:dyDescent="0.15">
      <c r="A1392" s="142" t="s">
        <v>2375</v>
      </c>
      <c r="B1392" s="120">
        <v>20</v>
      </c>
      <c r="C1392" s="175" t="s">
        <v>3632</v>
      </c>
      <c r="D1392" s="175">
        <v>1972</v>
      </c>
      <c r="E1392" s="144" t="s">
        <v>20</v>
      </c>
      <c r="F1392" s="175"/>
      <c r="G1392" s="175" t="s">
        <v>3665</v>
      </c>
      <c r="H1392" s="120" t="s">
        <v>199</v>
      </c>
      <c r="I1392" s="175"/>
      <c r="J1392" s="120"/>
      <c r="K1392" s="120"/>
      <c r="L1392" s="120"/>
      <c r="M1392" s="120"/>
      <c r="N1392" s="12"/>
      <c r="O1392" s="12" t="e">
        <v>#VALUE!</v>
      </c>
      <c r="P1392" s="13" t="str">
        <f t="shared" si="22"/>
        <v/>
      </c>
      <c r="Q1392" s="192"/>
      <c r="R1392" s="142" t="s">
        <v>2371</v>
      </c>
    </row>
    <row r="1393" spans="1:18" s="6" customFormat="1" ht="28.5" customHeight="1" x14ac:dyDescent="0.15">
      <c r="A1393" s="142" t="s">
        <v>2375</v>
      </c>
      <c r="B1393" s="120">
        <v>20</v>
      </c>
      <c r="C1393" s="175" t="s">
        <v>3632</v>
      </c>
      <c r="D1393" s="175">
        <v>1972</v>
      </c>
      <c r="E1393" s="144" t="s">
        <v>20</v>
      </c>
      <c r="F1393" s="175"/>
      <c r="G1393" s="175" t="s">
        <v>3666</v>
      </c>
      <c r="H1393" s="120" t="s">
        <v>199</v>
      </c>
      <c r="I1393" s="175"/>
      <c r="J1393" s="120"/>
      <c r="K1393" s="120"/>
      <c r="L1393" s="120"/>
      <c r="M1393" s="120"/>
      <c r="N1393" s="12"/>
      <c r="O1393" s="12" t="e">
        <v>#VALUE!</v>
      </c>
      <c r="P1393" s="13" t="str">
        <f t="shared" si="22"/>
        <v/>
      </c>
      <c r="Q1393" s="192"/>
      <c r="R1393" s="142" t="s">
        <v>2371</v>
      </c>
    </row>
    <row r="1394" spans="1:18" s="6" customFormat="1" ht="15" customHeight="1" x14ac:dyDescent="0.15">
      <c r="A1394" s="142" t="s">
        <v>2375</v>
      </c>
      <c r="B1394" s="120">
        <v>20</v>
      </c>
      <c r="C1394" s="175" t="s">
        <v>3632</v>
      </c>
      <c r="D1394" s="175">
        <v>1972</v>
      </c>
      <c r="E1394" s="144" t="s">
        <v>20</v>
      </c>
      <c r="F1394" s="175"/>
      <c r="G1394" s="175" t="s">
        <v>3667</v>
      </c>
      <c r="H1394" s="120" t="s">
        <v>199</v>
      </c>
      <c r="I1394" s="175" t="s">
        <v>2475</v>
      </c>
      <c r="J1394" s="120" t="s">
        <v>3668</v>
      </c>
      <c r="K1394" s="120"/>
      <c r="L1394" s="120"/>
      <c r="M1394" s="120"/>
      <c r="N1394" s="12"/>
      <c r="O1394" s="12" t="e">
        <v>#VALUE!</v>
      </c>
      <c r="P1394" s="13" t="str">
        <f t="shared" si="22"/>
        <v/>
      </c>
      <c r="Q1394" s="192"/>
      <c r="R1394" s="142" t="s">
        <v>2371</v>
      </c>
    </row>
    <row r="1395" spans="1:18" s="6" customFormat="1" ht="34.5" customHeight="1" x14ac:dyDescent="0.15">
      <c r="A1395" s="145" t="s">
        <v>2375</v>
      </c>
      <c r="B1395" s="88">
        <v>20</v>
      </c>
      <c r="C1395" s="163" t="s">
        <v>3632</v>
      </c>
      <c r="D1395" s="163">
        <v>1972</v>
      </c>
      <c r="E1395" s="147" t="s">
        <v>34</v>
      </c>
      <c r="F1395" s="163"/>
      <c r="G1395" s="349" t="s">
        <v>3669</v>
      </c>
      <c r="H1395" s="88" t="s">
        <v>199</v>
      </c>
      <c r="I1395" s="163"/>
      <c r="J1395" s="88"/>
      <c r="K1395" s="88"/>
      <c r="L1395" s="88"/>
      <c r="M1395" s="88"/>
      <c r="N1395" s="32" t="s">
        <v>3670</v>
      </c>
      <c r="O1395" s="32" t="s">
        <v>3510</v>
      </c>
      <c r="P1395" s="33" t="str">
        <f t="shared" si="22"/>
        <v>亀山のいいとこさがし／人々がつたえてきたこと／踊りや唄／関の山車</v>
      </c>
      <c r="Q1395" s="48" t="str">
        <f>HYPERLINK("http://kameyamarekihaku.jp/sisi/MinzokuHP/jirei/bunrui10/data10-2/index10_2.htm","市史民俗編／祭礼・芸能／各町の山車")</f>
        <v>市史民俗編／祭礼・芸能／各町の山車</v>
      </c>
      <c r="R1395" s="145" t="s">
        <v>2462</v>
      </c>
    </row>
    <row r="1396" spans="1:18" s="6" customFormat="1" ht="36" customHeight="1" x14ac:dyDescent="0.15">
      <c r="A1396" s="151"/>
      <c r="B1396" s="91"/>
      <c r="C1396" s="169"/>
      <c r="D1396" s="169"/>
      <c r="E1396" s="153"/>
      <c r="F1396" s="169"/>
      <c r="G1396" s="374"/>
      <c r="H1396" s="91"/>
      <c r="I1396" s="169"/>
      <c r="J1396" s="91"/>
      <c r="K1396" s="91"/>
      <c r="L1396" s="91"/>
      <c r="M1396" s="91"/>
      <c r="N1396" s="29" t="s">
        <v>3671</v>
      </c>
      <c r="O1396" s="29" t="s">
        <v>3672</v>
      </c>
      <c r="P1396" s="30" t="str">
        <f t="shared" si="22"/>
        <v>亀山のいいとこさがし／人々がつたえてきたこと／踊りや唄／鈴鹿馬子唄</v>
      </c>
      <c r="Q1396" s="46"/>
      <c r="R1396" s="151"/>
    </row>
    <row r="1397" spans="1:18" s="6" customFormat="1" ht="28.5" customHeight="1" x14ac:dyDescent="0.15">
      <c r="A1397" s="142" t="s">
        <v>2375</v>
      </c>
      <c r="B1397" s="120">
        <v>20</v>
      </c>
      <c r="C1397" s="175" t="s">
        <v>3632</v>
      </c>
      <c r="D1397" s="175">
        <v>1972</v>
      </c>
      <c r="E1397" s="144" t="s">
        <v>20</v>
      </c>
      <c r="F1397" s="175"/>
      <c r="G1397" s="175" t="s">
        <v>3673</v>
      </c>
      <c r="H1397" s="120" t="s">
        <v>199</v>
      </c>
      <c r="I1397" s="175"/>
      <c r="J1397" s="120"/>
      <c r="K1397" s="120"/>
      <c r="L1397" s="120"/>
      <c r="M1397" s="120"/>
      <c r="N1397" s="12"/>
      <c r="O1397" s="12" t="e">
        <v>#VALUE!</v>
      </c>
      <c r="P1397" s="13" t="str">
        <f t="shared" si="22"/>
        <v/>
      </c>
      <c r="Q1397" s="192"/>
      <c r="R1397" s="142" t="s">
        <v>2462</v>
      </c>
    </row>
    <row r="1398" spans="1:18" s="6" customFormat="1" ht="28.5" customHeight="1" x14ac:dyDescent="0.15">
      <c r="A1398" s="142" t="s">
        <v>2375</v>
      </c>
      <c r="B1398" s="120">
        <v>20</v>
      </c>
      <c r="C1398" s="175" t="s">
        <v>3632</v>
      </c>
      <c r="D1398" s="175">
        <v>1972</v>
      </c>
      <c r="E1398" s="144" t="s">
        <v>20</v>
      </c>
      <c r="F1398" s="175"/>
      <c r="G1398" s="175" t="s">
        <v>3674</v>
      </c>
      <c r="H1398" s="120"/>
      <c r="I1398" s="175"/>
      <c r="J1398" s="120"/>
      <c r="K1398" s="120"/>
      <c r="L1398" s="120"/>
      <c r="M1398" s="120"/>
      <c r="N1398" s="12"/>
      <c r="O1398" s="12" t="e">
        <v>#VALUE!</v>
      </c>
      <c r="P1398" s="13" t="str">
        <f t="shared" si="22"/>
        <v/>
      </c>
      <c r="Q1398" s="192"/>
      <c r="R1398" s="142" t="s">
        <v>3076</v>
      </c>
    </row>
    <row r="1399" spans="1:18" s="6" customFormat="1" ht="28.5" customHeight="1" x14ac:dyDescent="0.15">
      <c r="A1399" s="142" t="s">
        <v>2375</v>
      </c>
      <c r="B1399" s="120">
        <v>20</v>
      </c>
      <c r="C1399" s="175" t="s">
        <v>3632</v>
      </c>
      <c r="D1399" s="175">
        <v>1972</v>
      </c>
      <c r="E1399" s="144" t="s">
        <v>34</v>
      </c>
      <c r="F1399" s="175"/>
      <c r="G1399" s="175" t="s">
        <v>3675</v>
      </c>
      <c r="H1399" s="120"/>
      <c r="I1399" s="175"/>
      <c r="J1399" s="120"/>
      <c r="K1399" s="120" t="s">
        <v>3676</v>
      </c>
      <c r="L1399" s="120"/>
      <c r="M1399" s="120"/>
      <c r="N1399" s="12" t="s">
        <v>3677</v>
      </c>
      <c r="O1399" s="12" t="s">
        <v>2599</v>
      </c>
      <c r="P1399" s="13" t="str">
        <f t="shared" si="22"/>
        <v>亀山市の名誉市民／旧亀山市の名誉市民</v>
      </c>
      <c r="Q1399" s="192"/>
      <c r="R1399" s="142" t="s">
        <v>3678</v>
      </c>
    </row>
    <row r="1400" spans="1:18" s="139" customFormat="1" ht="15" customHeight="1" x14ac:dyDescent="0.15">
      <c r="A1400" s="142" t="s">
        <v>2375</v>
      </c>
      <c r="B1400" s="142">
        <v>20</v>
      </c>
      <c r="C1400" s="143" t="s">
        <v>3679</v>
      </c>
      <c r="D1400" s="143">
        <v>1973</v>
      </c>
      <c r="E1400" s="144" t="s">
        <v>20</v>
      </c>
      <c r="F1400" s="143" t="s">
        <v>3680</v>
      </c>
      <c r="G1400" s="143"/>
      <c r="H1400" s="142"/>
      <c r="I1400" s="143"/>
      <c r="J1400" s="142"/>
      <c r="K1400" s="142"/>
      <c r="L1400" s="142"/>
      <c r="M1400" s="142"/>
      <c r="N1400" s="12"/>
      <c r="O1400" s="12" t="e">
        <v>#VALUE!</v>
      </c>
      <c r="P1400" s="13" t="str">
        <f t="shared" si="22"/>
        <v/>
      </c>
      <c r="Q1400" s="158"/>
      <c r="R1400" s="142"/>
    </row>
    <row r="1401" spans="1:18" s="139" customFormat="1" ht="15" customHeight="1" x14ac:dyDescent="0.15">
      <c r="A1401" s="142" t="s">
        <v>2375</v>
      </c>
      <c r="B1401" s="142">
        <v>20</v>
      </c>
      <c r="C1401" s="143" t="s">
        <v>3679</v>
      </c>
      <c r="D1401" s="143">
        <v>1973</v>
      </c>
      <c r="E1401" s="144" t="s">
        <v>20</v>
      </c>
      <c r="F1401" s="238"/>
      <c r="G1401" s="143" t="s">
        <v>3681</v>
      </c>
      <c r="H1401" s="142" t="s">
        <v>2191</v>
      </c>
      <c r="I1401" s="143" t="s">
        <v>3643</v>
      </c>
      <c r="J1401" s="142" t="s">
        <v>3644</v>
      </c>
      <c r="K1401" s="142"/>
      <c r="L1401" s="142"/>
      <c r="M1401" s="142"/>
      <c r="N1401" s="12"/>
      <c r="O1401" s="12" t="e">
        <v>#VALUE!</v>
      </c>
      <c r="P1401" s="13" t="str">
        <f t="shared" si="22"/>
        <v/>
      </c>
      <c r="Q1401" s="158"/>
      <c r="R1401" s="142" t="s">
        <v>3422</v>
      </c>
    </row>
    <row r="1402" spans="1:18" s="139" customFormat="1" ht="15" customHeight="1" x14ac:dyDescent="0.15">
      <c r="A1402" s="142" t="s">
        <v>2375</v>
      </c>
      <c r="B1402" s="142">
        <v>20</v>
      </c>
      <c r="C1402" s="143" t="s">
        <v>3679</v>
      </c>
      <c r="D1402" s="143">
        <v>1973</v>
      </c>
      <c r="E1402" s="144" t="s">
        <v>20</v>
      </c>
      <c r="F1402" s="143"/>
      <c r="G1402" s="143" t="s">
        <v>3682</v>
      </c>
      <c r="H1402" s="142" t="s">
        <v>464</v>
      </c>
      <c r="I1402" s="175" t="s">
        <v>3683</v>
      </c>
      <c r="J1402" s="142" t="s">
        <v>3684</v>
      </c>
      <c r="K1402" s="142"/>
      <c r="L1402" s="142"/>
      <c r="M1402" s="142"/>
      <c r="N1402" s="12"/>
      <c r="O1402" s="12" t="e">
        <v>#VALUE!</v>
      </c>
      <c r="P1402" s="13" t="str">
        <f t="shared" si="22"/>
        <v/>
      </c>
      <c r="Q1402" s="158"/>
      <c r="R1402" s="142" t="s">
        <v>3422</v>
      </c>
    </row>
    <row r="1403" spans="1:18" s="139" customFormat="1" ht="15" customHeight="1" x14ac:dyDescent="0.15">
      <c r="A1403" s="142" t="s">
        <v>2375</v>
      </c>
      <c r="B1403" s="142">
        <v>20</v>
      </c>
      <c r="C1403" s="143" t="s">
        <v>3679</v>
      </c>
      <c r="D1403" s="143">
        <v>1973</v>
      </c>
      <c r="E1403" s="144" t="s">
        <v>20</v>
      </c>
      <c r="F1403" s="152"/>
      <c r="G1403" s="143" t="s">
        <v>3685</v>
      </c>
      <c r="H1403" s="142" t="s">
        <v>3537</v>
      </c>
      <c r="I1403" s="175" t="s">
        <v>2409</v>
      </c>
      <c r="J1403" s="142" t="s">
        <v>3686</v>
      </c>
      <c r="K1403" s="142"/>
      <c r="L1403" s="142"/>
      <c r="M1403" s="142"/>
      <c r="N1403" s="12"/>
      <c r="O1403" s="12" t="e">
        <v>#VALUE!</v>
      </c>
      <c r="P1403" s="13" t="str">
        <f t="shared" si="22"/>
        <v/>
      </c>
      <c r="Q1403" s="158"/>
      <c r="R1403" s="142" t="s">
        <v>3422</v>
      </c>
    </row>
    <row r="1404" spans="1:18" s="139" customFormat="1" ht="28.5" customHeight="1" x14ac:dyDescent="0.15">
      <c r="A1404" s="142" t="s">
        <v>2375</v>
      </c>
      <c r="B1404" s="142">
        <v>20</v>
      </c>
      <c r="C1404" s="143" t="s">
        <v>3679</v>
      </c>
      <c r="D1404" s="143">
        <v>1973</v>
      </c>
      <c r="E1404" s="144" t="s">
        <v>34</v>
      </c>
      <c r="F1404" s="238"/>
      <c r="G1404" s="143" t="s">
        <v>3687</v>
      </c>
      <c r="H1404" s="142" t="s">
        <v>3537</v>
      </c>
      <c r="I1404" s="175" t="s">
        <v>3659</v>
      </c>
      <c r="J1404" s="142" t="s">
        <v>3688</v>
      </c>
      <c r="K1404" s="142"/>
      <c r="L1404" s="142"/>
      <c r="M1404" s="142"/>
      <c r="N1404" s="12"/>
      <c r="O1404" s="12" t="e">
        <v>#VALUE!</v>
      </c>
      <c r="P1404" s="13" t="str">
        <f t="shared" si="22"/>
        <v/>
      </c>
      <c r="Q1404" s="158"/>
      <c r="R1404" s="142" t="s">
        <v>3689</v>
      </c>
    </row>
    <row r="1405" spans="1:18" s="139" customFormat="1" ht="43.5" customHeight="1" x14ac:dyDescent="0.15">
      <c r="A1405" s="142" t="s">
        <v>2375</v>
      </c>
      <c r="B1405" s="142">
        <v>20</v>
      </c>
      <c r="C1405" s="143" t="s">
        <v>3679</v>
      </c>
      <c r="D1405" s="143">
        <v>1973</v>
      </c>
      <c r="E1405" s="144" t="s">
        <v>20</v>
      </c>
      <c r="F1405" s="143"/>
      <c r="G1405" s="143" t="s">
        <v>3690</v>
      </c>
      <c r="H1405" s="142"/>
      <c r="I1405" s="143"/>
      <c r="J1405" s="142"/>
      <c r="K1405" s="142"/>
      <c r="L1405" s="142"/>
      <c r="M1405" s="142"/>
      <c r="N1405" s="12"/>
      <c r="O1405" s="12" t="e">
        <v>#VALUE!</v>
      </c>
      <c r="P1405" s="13" t="str">
        <f t="shared" si="22"/>
        <v/>
      </c>
      <c r="Q1405" s="158"/>
      <c r="R1405" s="142" t="s">
        <v>3422</v>
      </c>
    </row>
    <row r="1406" spans="1:18" s="139" customFormat="1" ht="28.5" customHeight="1" x14ac:dyDescent="0.15">
      <c r="A1406" s="142" t="s">
        <v>2375</v>
      </c>
      <c r="B1406" s="142">
        <v>20</v>
      </c>
      <c r="C1406" s="143" t="s">
        <v>3679</v>
      </c>
      <c r="D1406" s="143">
        <v>1973</v>
      </c>
      <c r="E1406" s="144" t="s">
        <v>20</v>
      </c>
      <c r="F1406" s="152"/>
      <c r="G1406" s="143" t="s">
        <v>3691</v>
      </c>
      <c r="H1406" s="142"/>
      <c r="I1406" s="143"/>
      <c r="J1406" s="142"/>
      <c r="K1406" s="142"/>
      <c r="L1406" s="142"/>
      <c r="M1406" s="142"/>
      <c r="N1406" s="12"/>
      <c r="O1406" s="12" t="e">
        <v>#VALUE!</v>
      </c>
      <c r="P1406" s="13" t="str">
        <f t="shared" si="22"/>
        <v/>
      </c>
      <c r="Q1406" s="158"/>
      <c r="R1406" s="142" t="s">
        <v>3422</v>
      </c>
    </row>
    <row r="1407" spans="1:18" s="139" customFormat="1" ht="15" customHeight="1" x14ac:dyDescent="0.15">
      <c r="A1407" s="142" t="s">
        <v>2375</v>
      </c>
      <c r="B1407" s="142">
        <v>20</v>
      </c>
      <c r="C1407" s="143" t="s">
        <v>3679</v>
      </c>
      <c r="D1407" s="143">
        <v>1973</v>
      </c>
      <c r="E1407" s="144" t="s">
        <v>20</v>
      </c>
      <c r="F1407" s="238"/>
      <c r="G1407" s="143" t="s">
        <v>3692</v>
      </c>
      <c r="H1407" s="142" t="s">
        <v>199</v>
      </c>
      <c r="I1407" s="143" t="s">
        <v>1800</v>
      </c>
      <c r="J1407" s="142"/>
      <c r="K1407" s="142"/>
      <c r="L1407" s="142"/>
      <c r="M1407" s="142"/>
      <c r="N1407" s="12"/>
      <c r="O1407" s="12" t="e">
        <v>#VALUE!</v>
      </c>
      <c r="P1407" s="13" t="str">
        <f t="shared" si="22"/>
        <v/>
      </c>
      <c r="Q1407" s="158"/>
      <c r="R1407" s="142" t="s">
        <v>2371</v>
      </c>
    </row>
    <row r="1408" spans="1:18" s="139" customFormat="1" ht="43.5" customHeight="1" x14ac:dyDescent="0.15">
      <c r="A1408" s="142" t="s">
        <v>2375</v>
      </c>
      <c r="B1408" s="142">
        <v>20</v>
      </c>
      <c r="C1408" s="143" t="s">
        <v>3679</v>
      </c>
      <c r="D1408" s="143">
        <v>1973</v>
      </c>
      <c r="E1408" s="144" t="s">
        <v>20</v>
      </c>
      <c r="F1408" s="143"/>
      <c r="G1408" s="143" t="s">
        <v>3693</v>
      </c>
      <c r="H1408" s="142" t="s">
        <v>199</v>
      </c>
      <c r="I1408" s="143"/>
      <c r="J1408" s="142"/>
      <c r="K1408" s="142"/>
      <c r="L1408" s="142"/>
      <c r="M1408" s="142"/>
      <c r="N1408" s="12"/>
      <c r="O1408" s="12" t="e">
        <v>#VALUE!</v>
      </c>
      <c r="P1408" s="13" t="str">
        <f t="shared" si="22"/>
        <v/>
      </c>
      <c r="Q1408" s="158"/>
      <c r="R1408" s="142" t="s">
        <v>2371</v>
      </c>
    </row>
    <row r="1409" spans="1:18" s="139" customFormat="1" ht="15" customHeight="1" x14ac:dyDescent="0.15">
      <c r="A1409" s="142" t="s">
        <v>2375</v>
      </c>
      <c r="B1409" s="142">
        <v>20</v>
      </c>
      <c r="C1409" s="143" t="s">
        <v>3679</v>
      </c>
      <c r="D1409" s="143">
        <v>1973</v>
      </c>
      <c r="E1409" s="144" t="s">
        <v>20</v>
      </c>
      <c r="F1409" s="143"/>
      <c r="G1409" s="143" t="s">
        <v>3694</v>
      </c>
      <c r="H1409" s="142" t="s">
        <v>199</v>
      </c>
      <c r="I1409" s="143"/>
      <c r="J1409" s="142"/>
      <c r="K1409" s="142"/>
      <c r="L1409" s="142"/>
      <c r="M1409" s="142"/>
      <c r="N1409" s="12"/>
      <c r="O1409" s="12" t="e">
        <v>#VALUE!</v>
      </c>
      <c r="P1409" s="13" t="str">
        <f t="shared" si="22"/>
        <v/>
      </c>
      <c r="Q1409" s="158"/>
      <c r="R1409" s="142" t="s">
        <v>2371</v>
      </c>
    </row>
    <row r="1410" spans="1:18" s="139" customFormat="1" ht="15" customHeight="1" x14ac:dyDescent="0.15">
      <c r="A1410" s="142" t="s">
        <v>2375</v>
      </c>
      <c r="B1410" s="142">
        <v>20</v>
      </c>
      <c r="C1410" s="143" t="s">
        <v>3679</v>
      </c>
      <c r="D1410" s="143">
        <v>1973</v>
      </c>
      <c r="E1410" s="144" t="s">
        <v>20</v>
      </c>
      <c r="F1410" s="152"/>
      <c r="G1410" s="143" t="s">
        <v>3695</v>
      </c>
      <c r="H1410" s="142" t="s">
        <v>199</v>
      </c>
      <c r="I1410" s="143" t="s">
        <v>3696</v>
      </c>
      <c r="J1410" s="142"/>
      <c r="K1410" s="142"/>
      <c r="L1410" s="142"/>
      <c r="M1410" s="142"/>
      <c r="N1410" s="12"/>
      <c r="O1410" s="12" t="e">
        <v>#VALUE!</v>
      </c>
      <c r="P1410" s="13" t="str">
        <f t="shared" si="22"/>
        <v/>
      </c>
      <c r="Q1410" s="158"/>
      <c r="R1410" s="142" t="s">
        <v>2371</v>
      </c>
    </row>
    <row r="1411" spans="1:18" s="139" customFormat="1" ht="51.75" customHeight="1" x14ac:dyDescent="0.15">
      <c r="A1411" s="142" t="s">
        <v>2375</v>
      </c>
      <c r="B1411" s="142">
        <v>20</v>
      </c>
      <c r="C1411" s="143" t="s">
        <v>3679</v>
      </c>
      <c r="D1411" s="143">
        <v>1973</v>
      </c>
      <c r="E1411" s="144" t="s">
        <v>34</v>
      </c>
      <c r="F1411" s="152"/>
      <c r="G1411" s="143" t="s">
        <v>3697</v>
      </c>
      <c r="H1411" s="142" t="s">
        <v>199</v>
      </c>
      <c r="I1411" s="143" t="s">
        <v>2475</v>
      </c>
      <c r="J1411" s="142"/>
      <c r="K1411" s="142"/>
      <c r="L1411" s="142"/>
      <c r="M1411" s="142"/>
      <c r="N1411" s="12" t="s">
        <v>3698</v>
      </c>
      <c r="O1411" s="12" t="s">
        <v>1975</v>
      </c>
      <c r="P1411" s="13" t="str">
        <f t="shared" si="22"/>
        <v>亀山のいいとこさがし／景色のよいところや歴史を知る手掛かりとなるもの／山／名勝</v>
      </c>
      <c r="Q1411" s="158"/>
      <c r="R1411" s="142" t="s">
        <v>2371</v>
      </c>
    </row>
    <row r="1412" spans="1:18" s="139" customFormat="1" ht="48" customHeight="1" x14ac:dyDescent="0.15">
      <c r="A1412" s="142" t="s">
        <v>2375</v>
      </c>
      <c r="B1412" s="142">
        <v>20</v>
      </c>
      <c r="C1412" s="143" t="s">
        <v>3679</v>
      </c>
      <c r="D1412" s="143">
        <v>1973</v>
      </c>
      <c r="E1412" s="144" t="s">
        <v>20</v>
      </c>
      <c r="F1412" s="238"/>
      <c r="G1412" s="143" t="s">
        <v>3699</v>
      </c>
      <c r="H1412" s="142" t="s">
        <v>199</v>
      </c>
      <c r="I1412" s="143"/>
      <c r="J1412" s="142" t="s">
        <v>3700</v>
      </c>
      <c r="K1412" s="142"/>
      <c r="L1412" s="142"/>
      <c r="M1412" s="82" t="str">
        <f>HYPERLINK("http:/kameyamarekihaku.jp/sisi/tuusiHP_next/kochuusei/image/08/gi.htm?pf=1241sh139.JPG&amp;?pn=%E5%B0%8F%E9%87%8E%E5%B7%9D%E3%81%8B%E3%82%89%E8%A6%8B%E3%81%9F%E7%BE%BD%E9%BB%92%E5%B1%B1","羽黒山")</f>
        <v>羽黒山</v>
      </c>
      <c r="N1412" s="176" t="s">
        <v>3165</v>
      </c>
      <c r="O1412" s="177" t="s">
        <v>1975</v>
      </c>
      <c r="P1412" s="240" t="str">
        <f t="shared" si="22"/>
        <v>亀山のいいとこさがし／景色のよいところや歴史を知る手掛かりとなるもの／山／名勝</v>
      </c>
      <c r="Q1412" s="142"/>
      <c r="R1412" s="142" t="s">
        <v>3701</v>
      </c>
    </row>
    <row r="1413" spans="1:18" s="139" customFormat="1" ht="29.1" customHeight="1" x14ac:dyDescent="0.15">
      <c r="A1413" s="142" t="s">
        <v>2375</v>
      </c>
      <c r="B1413" s="142">
        <v>20</v>
      </c>
      <c r="C1413" s="143" t="s">
        <v>3679</v>
      </c>
      <c r="D1413" s="143">
        <v>1973</v>
      </c>
      <c r="E1413" s="144" t="s">
        <v>20</v>
      </c>
      <c r="F1413" s="143"/>
      <c r="G1413" s="143" t="s">
        <v>3702</v>
      </c>
      <c r="H1413" s="142" t="s">
        <v>1336</v>
      </c>
      <c r="I1413" s="143" t="s">
        <v>2393</v>
      </c>
      <c r="J1413" s="142" t="s">
        <v>3527</v>
      </c>
      <c r="K1413" s="142"/>
      <c r="L1413" s="142"/>
      <c r="M1413" s="142"/>
      <c r="N1413" s="12" t="s">
        <v>3625</v>
      </c>
      <c r="O1413" s="12" t="s">
        <v>2450</v>
      </c>
      <c r="P1413" s="13" t="str">
        <f t="shared" ref="P1413:P1476" si="23">IFERROR(HYPERLINK(O1413,N1413),"")</f>
        <v>学校のあゆみ／加太小学校のれきし</v>
      </c>
      <c r="Q1413" s="158"/>
      <c r="R1413" s="142" t="s">
        <v>2462</v>
      </c>
    </row>
    <row r="1414" spans="1:18" s="139" customFormat="1" ht="15" customHeight="1" x14ac:dyDescent="0.15">
      <c r="A1414" s="142" t="s">
        <v>2375</v>
      </c>
      <c r="B1414" s="142">
        <v>20</v>
      </c>
      <c r="C1414" s="143" t="s">
        <v>3679</v>
      </c>
      <c r="D1414" s="143">
        <v>1973</v>
      </c>
      <c r="E1414" s="144" t="s">
        <v>20</v>
      </c>
      <c r="F1414" s="143"/>
      <c r="G1414" s="143" t="s">
        <v>3703</v>
      </c>
      <c r="H1414" s="142" t="s">
        <v>199</v>
      </c>
      <c r="I1414" s="143"/>
      <c r="J1414" s="142"/>
      <c r="K1414" s="142"/>
      <c r="L1414" s="142"/>
      <c r="M1414" s="142"/>
      <c r="N1414" s="12"/>
      <c r="O1414" s="12" t="e">
        <v>#VALUE!</v>
      </c>
      <c r="P1414" s="13" t="str">
        <f t="shared" si="23"/>
        <v/>
      </c>
      <c r="Q1414" s="158"/>
      <c r="R1414" s="142" t="s">
        <v>2371</v>
      </c>
    </row>
    <row r="1415" spans="1:18" s="139" customFormat="1" ht="28.5" customHeight="1" x14ac:dyDescent="0.15">
      <c r="A1415" s="142" t="s">
        <v>2375</v>
      </c>
      <c r="B1415" s="142">
        <v>20</v>
      </c>
      <c r="C1415" s="143" t="s">
        <v>3679</v>
      </c>
      <c r="D1415" s="143">
        <v>1973</v>
      </c>
      <c r="E1415" s="144" t="s">
        <v>20</v>
      </c>
      <c r="F1415" s="143"/>
      <c r="G1415" s="143" t="s">
        <v>3704</v>
      </c>
      <c r="H1415" s="142" t="s">
        <v>3107</v>
      </c>
      <c r="I1415" s="143"/>
      <c r="J1415" s="142"/>
      <c r="K1415" s="142"/>
      <c r="L1415" s="142"/>
      <c r="M1415" s="142"/>
      <c r="N1415" s="12"/>
      <c r="O1415" s="12" t="e">
        <v>#VALUE!</v>
      </c>
      <c r="P1415" s="13" t="str">
        <f t="shared" si="23"/>
        <v/>
      </c>
      <c r="Q1415" s="158"/>
      <c r="R1415" s="142" t="s">
        <v>2371</v>
      </c>
    </row>
    <row r="1416" spans="1:18" s="139" customFormat="1" ht="15" customHeight="1" x14ac:dyDescent="0.15">
      <c r="A1416" s="142" t="s">
        <v>2375</v>
      </c>
      <c r="B1416" s="142">
        <v>20</v>
      </c>
      <c r="C1416" s="143" t="s">
        <v>3705</v>
      </c>
      <c r="D1416" s="143">
        <v>1974</v>
      </c>
      <c r="E1416" s="144" t="s">
        <v>20</v>
      </c>
      <c r="F1416" s="143"/>
      <c r="G1416" s="143" t="s">
        <v>3706</v>
      </c>
      <c r="H1416" s="142" t="s">
        <v>122</v>
      </c>
      <c r="I1416" s="175" t="s">
        <v>3707</v>
      </c>
      <c r="J1416" s="142" t="s">
        <v>3708</v>
      </c>
      <c r="K1416" s="142"/>
      <c r="L1416" s="142"/>
      <c r="M1416" s="142"/>
      <c r="N1416" s="12"/>
      <c r="O1416" s="12" t="e">
        <v>#VALUE!</v>
      </c>
      <c r="P1416" s="13" t="str">
        <f t="shared" si="23"/>
        <v/>
      </c>
      <c r="Q1416" s="158"/>
      <c r="R1416" s="142" t="s">
        <v>3422</v>
      </c>
    </row>
    <row r="1417" spans="1:18" s="139" customFormat="1" ht="28.5" customHeight="1" x14ac:dyDescent="0.15">
      <c r="A1417" s="142" t="s">
        <v>2375</v>
      </c>
      <c r="B1417" s="142">
        <v>20</v>
      </c>
      <c r="C1417" s="143" t="s">
        <v>3705</v>
      </c>
      <c r="D1417" s="143">
        <v>1974</v>
      </c>
      <c r="E1417" s="144" t="s">
        <v>20</v>
      </c>
      <c r="F1417" s="143"/>
      <c r="G1417" s="143" t="s">
        <v>3709</v>
      </c>
      <c r="H1417" s="142" t="s">
        <v>2191</v>
      </c>
      <c r="I1417" s="143" t="s">
        <v>3643</v>
      </c>
      <c r="J1417" s="142" t="s">
        <v>3644</v>
      </c>
      <c r="K1417" s="142"/>
      <c r="L1417" s="142"/>
      <c r="M1417" s="142"/>
      <c r="N1417" s="12"/>
      <c r="O1417" s="12" t="e">
        <v>#VALUE!</v>
      </c>
      <c r="P1417" s="13" t="str">
        <f t="shared" si="23"/>
        <v/>
      </c>
      <c r="Q1417" s="158"/>
      <c r="R1417" s="142" t="s">
        <v>3422</v>
      </c>
    </row>
    <row r="1418" spans="1:18" s="139" customFormat="1" ht="15" customHeight="1" x14ac:dyDescent="0.15">
      <c r="A1418" s="142" t="s">
        <v>2375</v>
      </c>
      <c r="B1418" s="142">
        <v>20</v>
      </c>
      <c r="C1418" s="143" t="s">
        <v>3705</v>
      </c>
      <c r="D1418" s="143">
        <v>1974</v>
      </c>
      <c r="E1418" s="144" t="s">
        <v>20</v>
      </c>
      <c r="F1418" s="143"/>
      <c r="G1418" s="143" t="s">
        <v>3710</v>
      </c>
      <c r="H1418" s="120" t="s">
        <v>464</v>
      </c>
      <c r="I1418" s="143"/>
      <c r="J1418" s="142" t="s">
        <v>3711</v>
      </c>
      <c r="K1418" s="142"/>
      <c r="L1418" s="142"/>
      <c r="M1418" s="142"/>
      <c r="N1418" s="12"/>
      <c r="O1418" s="12" t="e">
        <v>#VALUE!</v>
      </c>
      <c r="P1418" s="13" t="str">
        <f t="shared" si="23"/>
        <v/>
      </c>
      <c r="Q1418" s="158"/>
      <c r="R1418" s="142" t="s">
        <v>3712</v>
      </c>
    </row>
    <row r="1419" spans="1:18" s="139" customFormat="1" ht="15" customHeight="1" x14ac:dyDescent="0.15">
      <c r="A1419" s="142" t="s">
        <v>2375</v>
      </c>
      <c r="B1419" s="142">
        <v>20</v>
      </c>
      <c r="C1419" s="143" t="s">
        <v>3705</v>
      </c>
      <c r="D1419" s="143">
        <v>1974</v>
      </c>
      <c r="E1419" s="144" t="s">
        <v>20</v>
      </c>
      <c r="F1419" s="143"/>
      <c r="G1419" s="143" t="s">
        <v>3713</v>
      </c>
      <c r="H1419" s="142" t="s">
        <v>3182</v>
      </c>
      <c r="I1419" s="175" t="s">
        <v>2409</v>
      </c>
      <c r="J1419" s="142" t="s">
        <v>3714</v>
      </c>
      <c r="K1419" s="142"/>
      <c r="L1419" s="142"/>
      <c r="M1419" s="142"/>
      <c r="N1419" s="12"/>
      <c r="O1419" s="12" t="e">
        <v>#VALUE!</v>
      </c>
      <c r="P1419" s="13" t="str">
        <f t="shared" si="23"/>
        <v/>
      </c>
      <c r="Q1419" s="158"/>
      <c r="R1419" s="142" t="s">
        <v>3422</v>
      </c>
    </row>
    <row r="1420" spans="1:18" s="139" customFormat="1" ht="45" customHeight="1" x14ac:dyDescent="0.15">
      <c r="A1420" s="142" t="s">
        <v>2375</v>
      </c>
      <c r="B1420" s="142">
        <v>20</v>
      </c>
      <c r="C1420" s="143" t="s">
        <v>3705</v>
      </c>
      <c r="D1420" s="143">
        <v>1974</v>
      </c>
      <c r="E1420" s="144" t="s">
        <v>20</v>
      </c>
      <c r="F1420" s="143"/>
      <c r="G1420" s="143" t="s">
        <v>3715</v>
      </c>
      <c r="H1420" s="142"/>
      <c r="I1420" s="143"/>
      <c r="J1420" s="142"/>
      <c r="K1420" s="142"/>
      <c r="L1420" s="142"/>
      <c r="M1420" s="142"/>
      <c r="N1420" s="12"/>
      <c r="O1420" s="12" t="e">
        <v>#VALUE!</v>
      </c>
      <c r="P1420" s="13" t="str">
        <f t="shared" si="23"/>
        <v/>
      </c>
      <c r="Q1420" s="158"/>
      <c r="R1420" s="142" t="s">
        <v>3422</v>
      </c>
    </row>
    <row r="1421" spans="1:18" s="139" customFormat="1" ht="39.4" customHeight="1" x14ac:dyDescent="0.15">
      <c r="A1421" s="142" t="s">
        <v>2375</v>
      </c>
      <c r="B1421" s="142">
        <v>20</v>
      </c>
      <c r="C1421" s="143" t="s">
        <v>3705</v>
      </c>
      <c r="D1421" s="143">
        <v>1974</v>
      </c>
      <c r="E1421" s="144" t="s">
        <v>20</v>
      </c>
      <c r="F1421" s="143"/>
      <c r="G1421" s="143" t="s">
        <v>3716</v>
      </c>
      <c r="H1421" s="142" t="s">
        <v>464</v>
      </c>
      <c r="I1421" s="143" t="s">
        <v>3717</v>
      </c>
      <c r="J1421" s="142" t="s">
        <v>3718</v>
      </c>
      <c r="K1421" s="142"/>
      <c r="L1421" s="142"/>
      <c r="M1421" s="142"/>
      <c r="N1421" s="12"/>
      <c r="O1421" s="12" t="e">
        <v>#VALUE!</v>
      </c>
      <c r="P1421" s="13" t="str">
        <f t="shared" si="23"/>
        <v/>
      </c>
      <c r="Q1421" s="158"/>
      <c r="R1421" s="142" t="s">
        <v>3422</v>
      </c>
    </row>
    <row r="1422" spans="1:18" s="139" customFormat="1" ht="15" customHeight="1" x14ac:dyDescent="0.15">
      <c r="A1422" s="142" t="s">
        <v>2375</v>
      </c>
      <c r="B1422" s="142">
        <v>20</v>
      </c>
      <c r="C1422" s="143" t="s">
        <v>3705</v>
      </c>
      <c r="D1422" s="143">
        <v>1974</v>
      </c>
      <c r="E1422" s="144" t="s">
        <v>20</v>
      </c>
      <c r="F1422" s="143"/>
      <c r="G1422" s="143" t="s">
        <v>3719</v>
      </c>
      <c r="H1422" s="142" t="s">
        <v>3321</v>
      </c>
      <c r="I1422" s="143" t="s">
        <v>3720</v>
      </c>
      <c r="J1422" s="120" t="s">
        <v>3721</v>
      </c>
      <c r="K1422" s="142"/>
      <c r="L1422" s="142"/>
      <c r="M1422" s="142"/>
      <c r="N1422" s="12"/>
      <c r="O1422" s="12" t="e">
        <v>#VALUE!</v>
      </c>
      <c r="P1422" s="13" t="str">
        <f t="shared" si="23"/>
        <v/>
      </c>
      <c r="Q1422" s="192"/>
      <c r="R1422" s="142" t="s">
        <v>3422</v>
      </c>
    </row>
    <row r="1423" spans="1:18" s="139" customFormat="1" ht="54.75" customHeight="1" x14ac:dyDescent="0.15">
      <c r="A1423" s="88" t="s">
        <v>2375</v>
      </c>
      <c r="B1423" s="145">
        <v>20</v>
      </c>
      <c r="C1423" s="146" t="s">
        <v>3705</v>
      </c>
      <c r="D1423" s="146">
        <v>1974</v>
      </c>
      <c r="E1423" s="147" t="s">
        <v>20</v>
      </c>
      <c r="F1423" s="146"/>
      <c r="G1423" s="345" t="s">
        <v>3722</v>
      </c>
      <c r="H1423" s="145"/>
      <c r="I1423" s="146"/>
      <c r="J1423" s="145"/>
      <c r="K1423" s="145"/>
      <c r="L1423" s="17" t="str">
        <f>HYPERLINK("http://kameyamarekihaku.jp/sisi/RekisiHP/kingendai/saigai/saigai-s49.7.25photo/gazo/s49.7.25.html","被害状況を撮影した写真")</f>
        <v>被害状況を撮影した写真</v>
      </c>
      <c r="M1423" s="145"/>
      <c r="N1423" s="32" t="s">
        <v>1353</v>
      </c>
      <c r="O1423" s="32" t="s">
        <v>1354</v>
      </c>
      <c r="P1423" s="33" t="str">
        <f t="shared" si="23"/>
        <v>亀山のむかしばなし／こわいはなし／大洪水の話／亀山の大洪水</v>
      </c>
      <c r="Q1423" s="17" t="str">
        <f>HYPERLINK("http://kameyamarekihaku.jp/sisi/RekisiHP/kingendai/saigai/saigai-showa/saigai-showa-47.html","市史近代・現代ページ　亀山の災害")</f>
        <v>市史近代・現代ページ　亀山の災害</v>
      </c>
      <c r="R1423" s="145" t="s">
        <v>3723</v>
      </c>
    </row>
    <row r="1424" spans="1:18" s="139" customFormat="1" ht="78" customHeight="1" x14ac:dyDescent="0.15">
      <c r="A1424" s="91"/>
      <c r="B1424" s="151"/>
      <c r="C1424" s="152"/>
      <c r="D1424" s="152"/>
      <c r="E1424" s="153"/>
      <c r="F1424" s="152"/>
      <c r="G1424" s="353"/>
      <c r="H1424" s="151"/>
      <c r="I1424" s="152"/>
      <c r="J1424" s="151"/>
      <c r="K1424" s="151"/>
      <c r="L1424" s="10" t="str">
        <f>HYPERLINK("http://kameyamarekihaku.jp/sisi/RekisiHP/kingendai/saigai/saigai-showa/saigai-syowa-kouho01.html","画像史料：広報かめやまの記事")</f>
        <v>画像史料：広報かめやまの記事</v>
      </c>
      <c r="M1424" s="151"/>
      <c r="N1424" s="29" t="s">
        <v>3724</v>
      </c>
      <c r="O1424" s="29" t="s">
        <v>3725</v>
      </c>
      <c r="P1424" s="30" t="str">
        <f t="shared" si="23"/>
        <v>日本の歴史の中の亀山／現代の亀山／自然災害／台風や集中豪雨による水害／1974年（昭和49）7月25日集中豪雨</v>
      </c>
      <c r="Q1424" s="10" t="str">
        <f>HYPERLINK("http://kameyamarekihaku.jp/sisi/RekisiHP/kingendai/saigai/saigai-showa/saigai-showa.html","市史近代・現代ページ　亀山の災害　昭和時代の災害一覧")</f>
        <v>市史近代・現代ページ　亀山の災害　昭和時代の災害一覧</v>
      </c>
      <c r="R1424" s="151"/>
    </row>
    <row r="1425" spans="1:18" s="139" customFormat="1" ht="15" customHeight="1" x14ac:dyDescent="0.15">
      <c r="A1425" s="120" t="s">
        <v>2375</v>
      </c>
      <c r="B1425" s="142">
        <v>20</v>
      </c>
      <c r="C1425" s="143" t="s">
        <v>3705</v>
      </c>
      <c r="D1425" s="143">
        <v>1974</v>
      </c>
      <c r="E1425" s="144" t="s">
        <v>20</v>
      </c>
      <c r="F1425" s="143"/>
      <c r="G1425" s="143" t="s">
        <v>3726</v>
      </c>
      <c r="H1425" s="142" t="s">
        <v>2160</v>
      </c>
      <c r="I1425" s="143"/>
      <c r="J1425" s="142" t="s">
        <v>3727</v>
      </c>
      <c r="K1425" s="142"/>
      <c r="L1425" s="142"/>
      <c r="M1425" s="142"/>
      <c r="N1425" s="12"/>
      <c r="O1425" s="12" t="e">
        <v>#VALUE!</v>
      </c>
      <c r="P1425" s="13" t="str">
        <f t="shared" si="23"/>
        <v/>
      </c>
      <c r="Q1425" s="158"/>
      <c r="R1425" s="142" t="s">
        <v>3422</v>
      </c>
    </row>
    <row r="1426" spans="1:18" s="139" customFormat="1" ht="28.5" customHeight="1" x14ac:dyDescent="0.15">
      <c r="A1426" s="120" t="s">
        <v>2375</v>
      </c>
      <c r="B1426" s="142">
        <v>20</v>
      </c>
      <c r="C1426" s="143" t="s">
        <v>3705</v>
      </c>
      <c r="D1426" s="143">
        <v>1974</v>
      </c>
      <c r="E1426" s="144" t="s">
        <v>34</v>
      </c>
      <c r="F1426" s="143"/>
      <c r="G1426" s="143" t="s">
        <v>3728</v>
      </c>
      <c r="H1426" s="142"/>
      <c r="I1426" s="143"/>
      <c r="J1426" s="142"/>
      <c r="K1426" s="142"/>
      <c r="L1426" s="142"/>
      <c r="M1426" s="142"/>
      <c r="N1426" s="12"/>
      <c r="O1426" s="12" t="e">
        <v>#VALUE!</v>
      </c>
      <c r="P1426" s="13" t="str">
        <f t="shared" si="23"/>
        <v/>
      </c>
      <c r="Q1426" s="158"/>
      <c r="R1426" s="142" t="s">
        <v>3422</v>
      </c>
    </row>
    <row r="1427" spans="1:18" s="139" customFormat="1" ht="43.5" customHeight="1" x14ac:dyDescent="0.15">
      <c r="A1427" s="120" t="s">
        <v>2375</v>
      </c>
      <c r="B1427" s="142">
        <v>20</v>
      </c>
      <c r="C1427" s="143" t="s">
        <v>3705</v>
      </c>
      <c r="D1427" s="143">
        <v>1974</v>
      </c>
      <c r="E1427" s="144" t="s">
        <v>34</v>
      </c>
      <c r="F1427" s="143"/>
      <c r="G1427" s="143" t="s">
        <v>3729</v>
      </c>
      <c r="H1427" s="142"/>
      <c r="I1427" s="143"/>
      <c r="J1427" s="142"/>
      <c r="K1427" s="142"/>
      <c r="L1427" s="142"/>
      <c r="M1427" s="142"/>
      <c r="N1427" s="12"/>
      <c r="O1427" s="12" t="e">
        <v>#VALUE!</v>
      </c>
      <c r="P1427" s="13" t="str">
        <f t="shared" si="23"/>
        <v/>
      </c>
      <c r="Q1427" s="158"/>
      <c r="R1427" s="142" t="s">
        <v>3422</v>
      </c>
    </row>
    <row r="1428" spans="1:18" s="139" customFormat="1" ht="32.25" customHeight="1" x14ac:dyDescent="0.15">
      <c r="A1428" s="120" t="s">
        <v>2375</v>
      </c>
      <c r="B1428" s="142">
        <v>20</v>
      </c>
      <c r="C1428" s="143" t="s">
        <v>3705</v>
      </c>
      <c r="D1428" s="143">
        <v>1974</v>
      </c>
      <c r="E1428" s="144" t="s">
        <v>20</v>
      </c>
      <c r="F1428" s="143"/>
      <c r="G1428" s="143" t="s">
        <v>3730</v>
      </c>
      <c r="H1428" s="142" t="s">
        <v>632</v>
      </c>
      <c r="I1428" s="175" t="s">
        <v>3731</v>
      </c>
      <c r="J1428" s="142" t="s">
        <v>3732</v>
      </c>
      <c r="K1428" s="142"/>
      <c r="L1428" s="142"/>
      <c r="M1428" s="142"/>
      <c r="N1428" s="12" t="s">
        <v>3733</v>
      </c>
      <c r="O1428" s="12" t="s">
        <v>3569</v>
      </c>
      <c r="P1428" s="13" t="str">
        <f t="shared" si="23"/>
        <v>日本の歴史の中の亀山／現代の亀山／行政と政治／ごみ処理場</v>
      </c>
      <c r="Q1428" s="158"/>
      <c r="R1428" s="142" t="s">
        <v>3422</v>
      </c>
    </row>
    <row r="1429" spans="1:18" s="139" customFormat="1" ht="28.5" customHeight="1" x14ac:dyDescent="0.15">
      <c r="A1429" s="120" t="s">
        <v>2375</v>
      </c>
      <c r="B1429" s="142">
        <v>20</v>
      </c>
      <c r="C1429" s="143" t="s">
        <v>3705</v>
      </c>
      <c r="D1429" s="143">
        <v>1974</v>
      </c>
      <c r="E1429" s="144" t="s">
        <v>20</v>
      </c>
      <c r="F1429" s="143"/>
      <c r="G1429" s="143" t="s">
        <v>3734</v>
      </c>
      <c r="H1429" s="142" t="s">
        <v>2656</v>
      </c>
      <c r="I1429" s="143" t="s">
        <v>3735</v>
      </c>
      <c r="J1429" s="142" t="s">
        <v>3736</v>
      </c>
      <c r="K1429" s="142"/>
      <c r="L1429" s="142"/>
      <c r="M1429" s="142"/>
      <c r="N1429" s="12"/>
      <c r="O1429" s="12" t="e">
        <v>#VALUE!</v>
      </c>
      <c r="P1429" s="13" t="str">
        <f t="shared" si="23"/>
        <v/>
      </c>
      <c r="Q1429" s="158"/>
      <c r="R1429" s="142" t="s">
        <v>3422</v>
      </c>
    </row>
    <row r="1430" spans="1:18" s="139" customFormat="1" ht="51.75" customHeight="1" x14ac:dyDescent="0.15">
      <c r="A1430" s="88" t="s">
        <v>2375</v>
      </c>
      <c r="B1430" s="145">
        <v>20</v>
      </c>
      <c r="C1430" s="146" t="s">
        <v>3705</v>
      </c>
      <c r="D1430" s="146">
        <v>1974</v>
      </c>
      <c r="E1430" s="147" t="s">
        <v>20</v>
      </c>
      <c r="F1430" s="146"/>
      <c r="G1430" s="146" t="s">
        <v>3737</v>
      </c>
      <c r="H1430" s="145" t="s">
        <v>2771</v>
      </c>
      <c r="I1430" s="146" t="s">
        <v>1911</v>
      </c>
      <c r="J1430" s="145"/>
      <c r="K1430" s="145"/>
      <c r="L1430" s="17" t="str">
        <f>HYPERLINK("http:/kameyamarekihaku.jp/sisi/tuusiHP_next/kingendai/image/09/gi.htm?pf=3087sh009-02.JPG&amp;?pn=%E6%9D%B1%E7%94%BA%E5%95%86%E5%BA%97%E8%A1%97%EF%BC%88%E6%98%AD%E5%92%8C50%E5%B9%B4%E4%BB%A3%E5%BE%8C%E5%8D%8A%EF%BC%89","画像史料：近代化事業中の東町商店街")</f>
        <v>画像史料：近代化事業中の東町商店街</v>
      </c>
      <c r="M1430" s="145"/>
      <c r="N1430" s="19" t="s">
        <v>3738</v>
      </c>
      <c r="O1430" s="19" t="s">
        <v>3739</v>
      </c>
      <c r="P1430" s="20" t="str">
        <f t="shared" si="23"/>
        <v>日本の歴史の中の亀山／現代の亀山／産業／商業／商店街</v>
      </c>
      <c r="Q1430" s="10" t="str">
        <f>HYPERLINK("http:/kameyamarekihaku.jp/sisi/tuusiHP_next/tuusi-index.html#kingendai0903","市史通史編 近代・現代第9章第3節")</f>
        <v>市史通史編 近代・現代第9章第3節</v>
      </c>
      <c r="R1430" s="145" t="s">
        <v>3740</v>
      </c>
    </row>
    <row r="1431" spans="1:18" s="139" customFormat="1" ht="15" customHeight="1" x14ac:dyDescent="0.15">
      <c r="A1431" s="120" t="s">
        <v>2375</v>
      </c>
      <c r="B1431" s="142">
        <v>20</v>
      </c>
      <c r="C1431" s="143" t="s">
        <v>3705</v>
      </c>
      <c r="D1431" s="143">
        <v>1974</v>
      </c>
      <c r="E1431" s="144" t="s">
        <v>20</v>
      </c>
      <c r="F1431" s="143"/>
      <c r="G1431" s="143" t="s">
        <v>3741</v>
      </c>
      <c r="H1431" s="142"/>
      <c r="I1431" s="143"/>
      <c r="J1431" s="142"/>
      <c r="K1431" s="142"/>
      <c r="L1431" s="142"/>
      <c r="M1431" s="142"/>
      <c r="N1431" s="12"/>
      <c r="O1431" s="12" t="e">
        <v>#VALUE!</v>
      </c>
      <c r="P1431" s="13" t="str">
        <f t="shared" si="23"/>
        <v/>
      </c>
      <c r="Q1431" s="158"/>
      <c r="R1431" s="142" t="s">
        <v>3422</v>
      </c>
    </row>
    <row r="1432" spans="1:18" s="139" customFormat="1" ht="15" customHeight="1" x14ac:dyDescent="0.15">
      <c r="A1432" s="120" t="s">
        <v>2375</v>
      </c>
      <c r="B1432" s="142">
        <v>20</v>
      </c>
      <c r="C1432" s="143" t="s">
        <v>3705</v>
      </c>
      <c r="D1432" s="143">
        <v>1974</v>
      </c>
      <c r="E1432" s="144" t="s">
        <v>20</v>
      </c>
      <c r="F1432" s="143"/>
      <c r="G1432" s="143" t="s">
        <v>3742</v>
      </c>
      <c r="H1432" s="120" t="s">
        <v>2191</v>
      </c>
      <c r="I1432" s="175" t="s">
        <v>147</v>
      </c>
      <c r="J1432" s="142" t="s">
        <v>3743</v>
      </c>
      <c r="K1432" s="142"/>
      <c r="L1432" s="142"/>
      <c r="M1432" s="142"/>
      <c r="N1432" s="12"/>
      <c r="O1432" s="12" t="e">
        <v>#VALUE!</v>
      </c>
      <c r="P1432" s="13" t="str">
        <f t="shared" si="23"/>
        <v/>
      </c>
      <c r="Q1432" s="158"/>
      <c r="R1432" s="142" t="s">
        <v>3422</v>
      </c>
    </row>
    <row r="1433" spans="1:18" s="139" customFormat="1" ht="28.5" customHeight="1" x14ac:dyDescent="0.15">
      <c r="A1433" s="142" t="s">
        <v>2375</v>
      </c>
      <c r="B1433" s="142">
        <v>20</v>
      </c>
      <c r="C1433" s="143" t="s">
        <v>3705</v>
      </c>
      <c r="D1433" s="143">
        <v>1974</v>
      </c>
      <c r="E1433" s="144" t="s">
        <v>20</v>
      </c>
      <c r="F1433" s="143"/>
      <c r="G1433" s="143" t="s">
        <v>3744</v>
      </c>
      <c r="H1433" s="142" t="s">
        <v>199</v>
      </c>
      <c r="I1433" s="143"/>
      <c r="J1433" s="142"/>
      <c r="K1433" s="142"/>
      <c r="L1433" s="142"/>
      <c r="M1433" s="142"/>
      <c r="N1433" s="12" t="s">
        <v>3034</v>
      </c>
      <c r="O1433" s="12" t="s">
        <v>3035</v>
      </c>
      <c r="P1433" s="13" t="str">
        <f t="shared" si="23"/>
        <v>日本の歴史の中の亀山／現代の亀山／行政と政治／水道</v>
      </c>
      <c r="Q1433" s="158"/>
      <c r="R1433" s="142" t="s">
        <v>2371</v>
      </c>
    </row>
    <row r="1434" spans="1:18" s="139" customFormat="1" ht="43.5" customHeight="1" x14ac:dyDescent="0.15">
      <c r="A1434" s="142" t="s">
        <v>2375</v>
      </c>
      <c r="B1434" s="142">
        <v>20</v>
      </c>
      <c r="C1434" s="143" t="s">
        <v>3705</v>
      </c>
      <c r="D1434" s="143">
        <v>1974</v>
      </c>
      <c r="E1434" s="144" t="s">
        <v>20</v>
      </c>
      <c r="F1434" s="238"/>
      <c r="G1434" s="143" t="s">
        <v>3745</v>
      </c>
      <c r="H1434" s="142" t="s">
        <v>199</v>
      </c>
      <c r="I1434" s="143"/>
      <c r="J1434" s="142"/>
      <c r="K1434" s="142"/>
      <c r="L1434" s="142"/>
      <c r="M1434" s="142"/>
      <c r="N1434" s="12"/>
      <c r="O1434" s="12" t="e">
        <v>#VALUE!</v>
      </c>
      <c r="P1434" s="13" t="str">
        <f t="shared" si="23"/>
        <v/>
      </c>
      <c r="Q1434" s="158"/>
      <c r="R1434" s="142" t="s">
        <v>2371</v>
      </c>
    </row>
    <row r="1435" spans="1:18" s="139" customFormat="1" ht="44.25" customHeight="1" x14ac:dyDescent="0.15">
      <c r="A1435" s="142" t="s">
        <v>2375</v>
      </c>
      <c r="B1435" s="142">
        <v>20</v>
      </c>
      <c r="C1435" s="143" t="s">
        <v>3705</v>
      </c>
      <c r="D1435" s="143">
        <v>1974</v>
      </c>
      <c r="E1435" s="144" t="s">
        <v>20</v>
      </c>
      <c r="F1435" s="143"/>
      <c r="G1435" s="143" t="s">
        <v>3746</v>
      </c>
      <c r="H1435" s="142" t="s">
        <v>199</v>
      </c>
      <c r="I1435" s="175" t="s">
        <v>2475</v>
      </c>
      <c r="J1435" s="142" t="s">
        <v>3747</v>
      </c>
      <c r="K1435" s="142"/>
      <c r="L1435" s="142"/>
      <c r="M1435" s="142"/>
      <c r="N1435" s="12" t="s">
        <v>3165</v>
      </c>
      <c r="O1435" s="12" t="s">
        <v>1975</v>
      </c>
      <c r="P1435" s="13" t="str">
        <f t="shared" si="23"/>
        <v>亀山のいいとこさがし／景色のよいところや歴史を知る手掛かりとなるもの／山／名勝</v>
      </c>
      <c r="Q1435" s="158"/>
      <c r="R1435" s="142" t="s">
        <v>2462</v>
      </c>
    </row>
    <row r="1436" spans="1:18" s="139" customFormat="1" ht="28.5" customHeight="1" x14ac:dyDescent="0.15">
      <c r="A1436" s="142" t="s">
        <v>2375</v>
      </c>
      <c r="B1436" s="142">
        <v>20</v>
      </c>
      <c r="C1436" s="143" t="s">
        <v>3705</v>
      </c>
      <c r="D1436" s="143">
        <v>1974</v>
      </c>
      <c r="E1436" s="144" t="s">
        <v>20</v>
      </c>
      <c r="F1436" s="238"/>
      <c r="G1436" s="143" t="s">
        <v>3748</v>
      </c>
      <c r="H1436" s="142" t="s">
        <v>199</v>
      </c>
      <c r="I1436" s="143"/>
      <c r="J1436" s="142"/>
      <c r="K1436" s="142"/>
      <c r="L1436" s="142"/>
      <c r="M1436" s="142"/>
      <c r="N1436" s="53" t="s">
        <v>3034</v>
      </c>
      <c r="O1436" s="29" t="s">
        <v>3035</v>
      </c>
      <c r="P1436" s="30" t="str">
        <f t="shared" si="23"/>
        <v>日本の歴史の中の亀山／現代の亀山／行政と政治／水道</v>
      </c>
      <c r="Q1436" s="107"/>
      <c r="R1436" s="142" t="s">
        <v>2462</v>
      </c>
    </row>
    <row r="1437" spans="1:18" s="139" customFormat="1" ht="30" customHeight="1" x14ac:dyDescent="0.15">
      <c r="A1437" s="145" t="s">
        <v>2375</v>
      </c>
      <c r="B1437" s="145">
        <v>19</v>
      </c>
      <c r="C1437" s="146" t="s">
        <v>3749</v>
      </c>
      <c r="D1437" s="146">
        <v>1975</v>
      </c>
      <c r="E1437" s="147" t="s">
        <v>34</v>
      </c>
      <c r="F1437" s="146"/>
      <c r="G1437" s="345" t="s">
        <v>3750</v>
      </c>
      <c r="H1437" s="145" t="s">
        <v>468</v>
      </c>
      <c r="I1437" s="146" t="s">
        <v>947</v>
      </c>
      <c r="J1437" s="145" t="s">
        <v>1930</v>
      </c>
      <c r="K1437" s="145"/>
      <c r="L1437" s="145"/>
      <c r="M1437" s="17" t="str">
        <f>HYPERLINK("http:/kameyamarekihaku.jp/sisi/koukoHP/archives/kamejyougennjyo/01/01-06/gi.html?pf=KJGNJY0106-06-007.JPG&amp;pn=%E6%A5%A0%E9%96%80%E8%B7%A1%E3%81%AE%E5%B1%B1%E5%B4%8E%E9%9B%AA%E6%9F%B3%E8%BB%92%E9%81%BA%E5%89%A3%E7%A2%91","楠門跡の山崎雪柳軒遺剣碑")</f>
        <v>楠門跡の山崎雪柳軒遺剣碑</v>
      </c>
      <c r="N1437" s="32" t="s">
        <v>3751</v>
      </c>
      <c r="O1437" s="32" t="s">
        <v>1817</v>
      </c>
      <c r="P1437" s="33" t="str">
        <f t="shared" si="23"/>
        <v>亀山のいいとこさがし／人々がつたえてきたこと／技や仕事／心形刀流武芸形</v>
      </c>
      <c r="Q1437" s="17" t="str">
        <f>HYPERLINK("http:/kameyamarekihaku.jp/sisi/tuusiHP_next/tuusi-index.html#kingendai0904","市史通史編 近代・現代第9章第4節")</f>
        <v>市史通史編 近代・現代第9章第4節</v>
      </c>
      <c r="R1437" s="347" t="s">
        <v>3752</v>
      </c>
    </row>
    <row r="1438" spans="1:18" s="139" customFormat="1" ht="14.25" customHeight="1" x14ac:dyDescent="0.15">
      <c r="A1438" s="136"/>
      <c r="B1438" s="136"/>
      <c r="C1438" s="137"/>
      <c r="D1438" s="137"/>
      <c r="E1438" s="138"/>
      <c r="F1438" s="137"/>
      <c r="G1438" s="346"/>
      <c r="H1438" s="136"/>
      <c r="I1438" s="137"/>
      <c r="J1438" s="136"/>
      <c r="K1438" s="136"/>
      <c r="L1438" s="136"/>
      <c r="M1438" s="136"/>
      <c r="N1438" s="19"/>
      <c r="O1438" s="19" t="e">
        <v>#VALUE!</v>
      </c>
      <c r="P1438" s="20" t="str">
        <f t="shared" si="23"/>
        <v/>
      </c>
      <c r="Q1438" s="21" t="str">
        <f>HYPERLINK("http://kameyamarekihaku.jp/21kikaku/info.html","過去の企画展　亀山藩の武芸")</f>
        <v>過去の企画展　亀山藩の武芸</v>
      </c>
      <c r="R1438" s="332"/>
    </row>
    <row r="1439" spans="1:18" s="139" customFormat="1" ht="40.5" customHeight="1" x14ac:dyDescent="0.15">
      <c r="A1439" s="136"/>
      <c r="B1439" s="136"/>
      <c r="C1439" s="137"/>
      <c r="D1439" s="137"/>
      <c r="E1439" s="138"/>
      <c r="F1439" s="137"/>
      <c r="G1439" s="141"/>
      <c r="H1439" s="136"/>
      <c r="I1439" s="137"/>
      <c r="J1439" s="136"/>
      <c r="K1439" s="136"/>
      <c r="L1439" s="136"/>
      <c r="M1439" s="136"/>
      <c r="N1439" s="19"/>
      <c r="O1439" s="19" t="e">
        <v>#VALUE!</v>
      </c>
      <c r="P1439" s="20" t="str">
        <f t="shared" si="23"/>
        <v/>
      </c>
      <c r="Q1439" s="28" t="str">
        <f>HYPERLINK("http://kameyamarekihaku.jp/raikan_demae/140213_nishi.html","西小6年授業支援実践例「『心形刀流』の学習に亀山演武場に行きました」")</f>
        <v>西小6年授業支援実践例「『心形刀流』の学習に亀山演武場に行きました」</v>
      </c>
      <c r="R1439" s="332"/>
    </row>
    <row r="1440" spans="1:18" s="139" customFormat="1" ht="30" customHeight="1" x14ac:dyDescent="0.15">
      <c r="A1440" s="151"/>
      <c r="B1440" s="151"/>
      <c r="C1440" s="152"/>
      <c r="D1440" s="152"/>
      <c r="E1440" s="153"/>
      <c r="F1440" s="152"/>
      <c r="G1440" s="154"/>
      <c r="H1440" s="151"/>
      <c r="I1440" s="152"/>
      <c r="J1440" s="151"/>
      <c r="K1440" s="151"/>
      <c r="L1440" s="151"/>
      <c r="M1440" s="151"/>
      <c r="N1440" s="29"/>
      <c r="O1440" s="29" t="e">
        <v>#VALUE!</v>
      </c>
      <c r="P1440" s="30" t="str">
        <f t="shared" si="23"/>
        <v/>
      </c>
      <c r="Q1440" s="31" t="str">
        <f>HYPERLINK("http://kameyamarekihaku.jp/raikan_demae/140620_nisi_syo.html","西小6年地域素材の教材化実践例「亀山の史跡を知ろう」")</f>
        <v>西小6年地域素材の教材化実践例「亀山の史跡を知ろう」</v>
      </c>
      <c r="R1440" s="157"/>
    </row>
    <row r="1441" spans="1:18" s="139" customFormat="1" ht="15" customHeight="1" x14ac:dyDescent="0.15">
      <c r="A1441" s="142" t="s">
        <v>2375</v>
      </c>
      <c r="B1441" s="142">
        <v>19</v>
      </c>
      <c r="C1441" s="143" t="s">
        <v>3749</v>
      </c>
      <c r="D1441" s="143">
        <v>1975</v>
      </c>
      <c r="E1441" s="144" t="s">
        <v>20</v>
      </c>
      <c r="F1441" s="143"/>
      <c r="G1441" s="143" t="s">
        <v>3753</v>
      </c>
      <c r="H1441" s="142" t="s">
        <v>2160</v>
      </c>
      <c r="I1441" s="143"/>
      <c r="J1441" s="142" t="s">
        <v>3727</v>
      </c>
      <c r="K1441" s="142"/>
      <c r="L1441" s="142"/>
      <c r="M1441" s="142"/>
      <c r="N1441" s="12"/>
      <c r="O1441" s="12" t="e">
        <v>#VALUE!</v>
      </c>
      <c r="P1441" s="13" t="str">
        <f t="shared" si="23"/>
        <v/>
      </c>
      <c r="Q1441" s="158"/>
      <c r="R1441" s="142" t="s">
        <v>2936</v>
      </c>
    </row>
    <row r="1442" spans="1:18" s="139" customFormat="1" ht="15" customHeight="1" x14ac:dyDescent="0.15">
      <c r="A1442" s="142" t="s">
        <v>2375</v>
      </c>
      <c r="B1442" s="142">
        <v>19</v>
      </c>
      <c r="C1442" s="143" t="s">
        <v>3749</v>
      </c>
      <c r="D1442" s="143">
        <v>1975</v>
      </c>
      <c r="E1442" s="144" t="s">
        <v>20</v>
      </c>
      <c r="F1442" s="143"/>
      <c r="G1442" s="143" t="s">
        <v>3754</v>
      </c>
      <c r="H1442" s="120" t="s">
        <v>199</v>
      </c>
      <c r="I1442" s="175" t="s">
        <v>2475</v>
      </c>
      <c r="J1442" s="142" t="s">
        <v>3755</v>
      </c>
      <c r="K1442" s="142"/>
      <c r="L1442" s="142"/>
      <c r="M1442" s="142"/>
      <c r="N1442" s="12"/>
      <c r="O1442" s="12" t="e">
        <v>#VALUE!</v>
      </c>
      <c r="P1442" s="13" t="str">
        <f t="shared" si="23"/>
        <v/>
      </c>
      <c r="Q1442" s="158"/>
      <c r="R1442" s="142" t="s">
        <v>2371</v>
      </c>
    </row>
    <row r="1443" spans="1:18" s="139" customFormat="1" ht="15" customHeight="1" x14ac:dyDescent="0.15">
      <c r="A1443" s="142" t="s">
        <v>2375</v>
      </c>
      <c r="B1443" s="142">
        <v>19</v>
      </c>
      <c r="C1443" s="143" t="s">
        <v>3749</v>
      </c>
      <c r="D1443" s="143">
        <v>1975</v>
      </c>
      <c r="E1443" s="144" t="s">
        <v>20</v>
      </c>
      <c r="F1443" s="143"/>
      <c r="G1443" s="143" t="s">
        <v>3756</v>
      </c>
      <c r="H1443" s="142" t="s">
        <v>199</v>
      </c>
      <c r="I1443" s="143"/>
      <c r="J1443" s="142"/>
      <c r="K1443" s="142"/>
      <c r="L1443" s="142"/>
      <c r="M1443" s="142"/>
      <c r="N1443" s="12"/>
      <c r="O1443" s="12" t="e">
        <v>#VALUE!</v>
      </c>
      <c r="P1443" s="13" t="str">
        <f t="shared" si="23"/>
        <v/>
      </c>
      <c r="Q1443" s="158"/>
      <c r="R1443" s="142" t="s">
        <v>2371</v>
      </c>
    </row>
    <row r="1444" spans="1:18" s="139" customFormat="1" ht="28.5" customHeight="1" x14ac:dyDescent="0.15">
      <c r="A1444" s="142" t="s">
        <v>2375</v>
      </c>
      <c r="B1444" s="142">
        <v>19</v>
      </c>
      <c r="C1444" s="143" t="s">
        <v>3749</v>
      </c>
      <c r="D1444" s="143">
        <v>1975</v>
      </c>
      <c r="E1444" s="144" t="s">
        <v>34</v>
      </c>
      <c r="F1444" s="143"/>
      <c r="G1444" s="143" t="s">
        <v>3757</v>
      </c>
      <c r="H1444" s="142" t="s">
        <v>199</v>
      </c>
      <c r="I1444" s="143"/>
      <c r="J1444" s="142"/>
      <c r="K1444" s="142"/>
      <c r="L1444" s="142"/>
      <c r="M1444" s="142"/>
      <c r="N1444" s="12"/>
      <c r="O1444" s="12" t="e">
        <v>#VALUE!</v>
      </c>
      <c r="P1444" s="13" t="str">
        <f t="shared" si="23"/>
        <v/>
      </c>
      <c r="Q1444" s="158"/>
      <c r="R1444" s="142" t="s">
        <v>2462</v>
      </c>
    </row>
    <row r="1445" spans="1:18" s="139" customFormat="1" ht="29.1" customHeight="1" x14ac:dyDescent="0.15">
      <c r="A1445" s="142" t="s">
        <v>2375</v>
      </c>
      <c r="B1445" s="142">
        <v>19</v>
      </c>
      <c r="C1445" s="143" t="s">
        <v>3749</v>
      </c>
      <c r="D1445" s="143">
        <v>1975</v>
      </c>
      <c r="E1445" s="144" t="s">
        <v>20</v>
      </c>
      <c r="F1445" s="143"/>
      <c r="G1445" s="143" t="s">
        <v>3758</v>
      </c>
      <c r="H1445" s="142" t="s">
        <v>199</v>
      </c>
      <c r="I1445" s="175" t="s">
        <v>2367</v>
      </c>
      <c r="J1445" s="142" t="s">
        <v>3759</v>
      </c>
      <c r="K1445" s="142"/>
      <c r="L1445" s="142"/>
      <c r="M1445" s="142"/>
      <c r="N1445" s="12" t="s">
        <v>2919</v>
      </c>
      <c r="O1445" s="12" t="s">
        <v>2731</v>
      </c>
      <c r="P1445" s="13" t="str">
        <f t="shared" si="23"/>
        <v>日本の歴史の中の亀山／現代の亀山／教育と医療・福祉／保育園</v>
      </c>
      <c r="Q1445" s="158"/>
      <c r="R1445" s="142" t="s">
        <v>2462</v>
      </c>
    </row>
    <row r="1446" spans="1:18" s="139" customFormat="1" ht="28.5" customHeight="1" x14ac:dyDescent="0.15">
      <c r="A1446" s="142" t="s">
        <v>2375</v>
      </c>
      <c r="B1446" s="142">
        <v>19</v>
      </c>
      <c r="C1446" s="143" t="s">
        <v>3749</v>
      </c>
      <c r="D1446" s="143">
        <v>1975</v>
      </c>
      <c r="E1446" s="144" t="s">
        <v>20</v>
      </c>
      <c r="F1446" s="143"/>
      <c r="G1446" s="143" t="s">
        <v>3760</v>
      </c>
      <c r="H1446" s="142" t="s">
        <v>199</v>
      </c>
      <c r="I1446" s="175" t="s">
        <v>2367</v>
      </c>
      <c r="J1446" s="142"/>
      <c r="K1446" s="142"/>
      <c r="L1446" s="142"/>
      <c r="M1446" s="142"/>
      <c r="N1446" s="12" t="s">
        <v>3211</v>
      </c>
      <c r="O1446" s="12" t="s">
        <v>3016</v>
      </c>
      <c r="P1446" s="13" t="str">
        <f t="shared" si="23"/>
        <v>学校のあゆみ／関小学校のれきし</v>
      </c>
      <c r="Q1446" s="158"/>
      <c r="R1446" s="142" t="s">
        <v>2371</v>
      </c>
    </row>
    <row r="1447" spans="1:18" s="139" customFormat="1" ht="30" customHeight="1" x14ac:dyDescent="0.15">
      <c r="A1447" s="145" t="s">
        <v>2375</v>
      </c>
      <c r="B1447" s="145">
        <v>19</v>
      </c>
      <c r="C1447" s="146" t="s">
        <v>3749</v>
      </c>
      <c r="D1447" s="146">
        <v>1975</v>
      </c>
      <c r="E1447" s="147" t="s">
        <v>34</v>
      </c>
      <c r="F1447" s="146"/>
      <c r="G1447" s="146" t="s">
        <v>3761</v>
      </c>
      <c r="H1447" s="145" t="s">
        <v>199</v>
      </c>
      <c r="I1447" s="163" t="s">
        <v>3762</v>
      </c>
      <c r="J1447" s="71" t="str">
        <f>HYPERLINK("http://kameyamarekihaku.jp/sisi/KoukoHP/archives/kiriyama/01/01-01/gi.html?pf=KIRI01-06.JPG&amp;pn=%E5%88%87%E5%B1%B1%E7%93%A6%E7%AA%AF%E8%B7%A1%E3%80%80%E8%AA%BF%E6%9F%BB%E5%89%8D%E5%85%A8%E6%99%AF","切山瓦窯跡")</f>
        <v>切山瓦窯跡</v>
      </c>
      <c r="K1447" s="145"/>
      <c r="L1447" s="145"/>
      <c r="M1447" s="145"/>
      <c r="N1447" s="32"/>
      <c r="O1447" s="32" t="e">
        <v>#VALUE!</v>
      </c>
      <c r="P1447" s="33" t="str">
        <f t="shared" si="23"/>
        <v/>
      </c>
      <c r="Q1447" s="17" t="str">
        <f>HYPERLINK("http:/kameyamarekihaku.jp/sisi/KoukoHP/archives/kiriyama/01/01-01/KIRI01-.html","亀山市遺跡アーカイブス　関町萩原　切山瓦窯跡")</f>
        <v>亀山市遺跡アーカイブス　関町萩原　切山瓦窯跡</v>
      </c>
      <c r="R1447" s="347" t="s">
        <v>3763</v>
      </c>
    </row>
    <row r="1448" spans="1:18" s="139" customFormat="1" ht="36.75" customHeight="1" x14ac:dyDescent="0.15">
      <c r="A1448" s="151"/>
      <c r="B1448" s="151"/>
      <c r="C1448" s="152"/>
      <c r="D1448" s="152"/>
      <c r="E1448" s="153"/>
      <c r="F1448" s="152"/>
      <c r="G1448" s="152"/>
      <c r="H1448" s="151"/>
      <c r="I1448" s="169"/>
      <c r="J1448" s="151"/>
      <c r="K1448" s="151"/>
      <c r="L1448" s="151"/>
      <c r="M1448" s="151"/>
      <c r="N1448" s="19"/>
      <c r="O1448" s="19" t="e">
        <v>#VALUE!</v>
      </c>
      <c r="P1448" s="20" t="str">
        <f t="shared" si="23"/>
        <v/>
      </c>
      <c r="Q1448" s="21" t="str">
        <f>HYPERLINK("http:/kameyamarekihaku.jp/sisi/KoukoHP/iseki.html","市史考古編遺跡一覧No.52　浦ノ山中世墓")</f>
        <v>市史考古編遺跡一覧No.52　浦ノ山中世墓</v>
      </c>
      <c r="R1448" s="348"/>
    </row>
    <row r="1449" spans="1:18" s="139" customFormat="1" ht="44.25" customHeight="1" x14ac:dyDescent="0.15">
      <c r="A1449" s="142" t="s">
        <v>2375</v>
      </c>
      <c r="B1449" s="142">
        <v>19</v>
      </c>
      <c r="C1449" s="143" t="s">
        <v>3749</v>
      </c>
      <c r="D1449" s="143">
        <v>1975</v>
      </c>
      <c r="E1449" s="144" t="s">
        <v>20</v>
      </c>
      <c r="F1449" s="143"/>
      <c r="G1449" s="143" t="s">
        <v>3764</v>
      </c>
      <c r="H1449" s="142" t="s">
        <v>199</v>
      </c>
      <c r="I1449" s="238"/>
      <c r="J1449" s="142" t="s">
        <v>3765</v>
      </c>
      <c r="K1449" s="142"/>
      <c r="L1449" s="142"/>
      <c r="M1449" s="142"/>
      <c r="N1449" s="12" t="s">
        <v>3411</v>
      </c>
      <c r="O1449" s="12" t="s">
        <v>3405</v>
      </c>
      <c r="P1449" s="13" t="str">
        <f t="shared" si="23"/>
        <v>日本の歴史の中の亀山／現代の亀山／交通と通信／道路網の整備</v>
      </c>
      <c r="Q1449" s="158"/>
      <c r="R1449" s="142" t="s">
        <v>3766</v>
      </c>
    </row>
    <row r="1450" spans="1:18" s="139" customFormat="1" ht="44.25" customHeight="1" x14ac:dyDescent="0.15">
      <c r="A1450" s="142" t="s">
        <v>2375</v>
      </c>
      <c r="B1450" s="142">
        <v>19</v>
      </c>
      <c r="C1450" s="143" t="s">
        <v>3749</v>
      </c>
      <c r="D1450" s="143">
        <v>1975</v>
      </c>
      <c r="E1450" s="144" t="s">
        <v>20</v>
      </c>
      <c r="F1450" s="143"/>
      <c r="G1450" s="143" t="s">
        <v>3767</v>
      </c>
      <c r="H1450" s="142"/>
      <c r="I1450" s="175"/>
      <c r="J1450" s="142" t="s">
        <v>3768</v>
      </c>
      <c r="K1450" s="142"/>
      <c r="L1450" s="142"/>
      <c r="M1450" s="142"/>
      <c r="N1450" s="12" t="s">
        <v>3438</v>
      </c>
      <c r="O1450" s="12" t="s">
        <v>3405</v>
      </c>
      <c r="P1450" s="13" t="str">
        <f t="shared" si="23"/>
        <v>日本の歴史の中の亀山／現代の亀山／交通と通信／道路網の整備</v>
      </c>
      <c r="Q1450" s="158"/>
      <c r="R1450" s="142" t="s">
        <v>3769</v>
      </c>
    </row>
    <row r="1451" spans="1:18" s="139" customFormat="1" ht="15" customHeight="1" x14ac:dyDescent="0.15">
      <c r="A1451" s="142" t="s">
        <v>2375</v>
      </c>
      <c r="B1451" s="142">
        <v>19</v>
      </c>
      <c r="C1451" s="143" t="s">
        <v>3749</v>
      </c>
      <c r="D1451" s="143">
        <v>1975</v>
      </c>
      <c r="E1451" s="144" t="s">
        <v>20</v>
      </c>
      <c r="F1451" s="143"/>
      <c r="G1451" s="143" t="s">
        <v>3770</v>
      </c>
      <c r="H1451" s="142" t="s">
        <v>199</v>
      </c>
      <c r="I1451" s="175" t="s">
        <v>2367</v>
      </c>
      <c r="J1451" s="142" t="s">
        <v>3771</v>
      </c>
      <c r="K1451" s="142"/>
      <c r="L1451" s="142"/>
      <c r="M1451" s="142"/>
      <c r="N1451" s="12"/>
      <c r="O1451" s="12" t="e">
        <v>#VALUE!</v>
      </c>
      <c r="P1451" s="13" t="str">
        <f t="shared" si="23"/>
        <v/>
      </c>
      <c r="Q1451" s="158"/>
      <c r="R1451" s="142" t="s">
        <v>2371</v>
      </c>
    </row>
    <row r="1452" spans="1:18" s="139" customFormat="1" ht="28.5" customHeight="1" x14ac:dyDescent="0.15">
      <c r="A1452" s="142" t="s">
        <v>2375</v>
      </c>
      <c r="B1452" s="142">
        <v>19</v>
      </c>
      <c r="C1452" s="143" t="s">
        <v>3749</v>
      </c>
      <c r="D1452" s="143">
        <v>1975</v>
      </c>
      <c r="E1452" s="144" t="s">
        <v>20</v>
      </c>
      <c r="F1452" s="143"/>
      <c r="G1452" s="143" t="s">
        <v>3772</v>
      </c>
      <c r="H1452" s="142" t="s">
        <v>199</v>
      </c>
      <c r="I1452" s="175" t="s">
        <v>2689</v>
      </c>
      <c r="J1452" s="142" t="s">
        <v>3773</v>
      </c>
      <c r="K1452" s="142"/>
      <c r="L1452" s="142"/>
      <c r="M1452" s="142"/>
      <c r="N1452" s="12"/>
      <c r="O1452" s="12" t="e">
        <v>#VALUE!</v>
      </c>
      <c r="P1452" s="13" t="str">
        <f t="shared" si="23"/>
        <v/>
      </c>
      <c r="Q1452" s="158"/>
      <c r="R1452" s="142" t="s">
        <v>2371</v>
      </c>
    </row>
    <row r="1453" spans="1:18" s="139" customFormat="1" ht="28.5" customHeight="1" x14ac:dyDescent="0.15">
      <c r="A1453" s="142" t="s">
        <v>2375</v>
      </c>
      <c r="B1453" s="142">
        <v>20</v>
      </c>
      <c r="C1453" s="143" t="s">
        <v>3774</v>
      </c>
      <c r="D1453" s="143">
        <v>1976</v>
      </c>
      <c r="E1453" s="144" t="s">
        <v>20</v>
      </c>
      <c r="F1453" s="143"/>
      <c r="G1453" s="143" t="s">
        <v>3775</v>
      </c>
      <c r="H1453" s="142"/>
      <c r="I1453" s="143"/>
      <c r="J1453" s="142"/>
      <c r="K1453" s="142"/>
      <c r="L1453" s="142"/>
      <c r="M1453" s="142"/>
      <c r="N1453" s="12"/>
      <c r="O1453" s="12" t="e">
        <v>#VALUE!</v>
      </c>
      <c r="P1453" s="13" t="str">
        <f t="shared" si="23"/>
        <v/>
      </c>
      <c r="Q1453" s="158"/>
      <c r="R1453" s="142" t="s">
        <v>3422</v>
      </c>
    </row>
    <row r="1454" spans="1:18" s="139" customFormat="1" ht="28.5" customHeight="1" x14ac:dyDescent="0.15">
      <c r="A1454" s="142" t="s">
        <v>2375</v>
      </c>
      <c r="B1454" s="142">
        <v>20</v>
      </c>
      <c r="C1454" s="143" t="s">
        <v>3774</v>
      </c>
      <c r="D1454" s="143">
        <v>1976</v>
      </c>
      <c r="E1454" s="144" t="s">
        <v>20</v>
      </c>
      <c r="F1454" s="143"/>
      <c r="G1454" s="143" t="s">
        <v>3776</v>
      </c>
      <c r="H1454" s="142" t="s">
        <v>632</v>
      </c>
      <c r="I1454" s="175" t="s">
        <v>1520</v>
      </c>
      <c r="J1454" s="142" t="s">
        <v>3777</v>
      </c>
      <c r="K1454" s="142"/>
      <c r="L1454" s="142"/>
      <c r="M1454" s="142"/>
      <c r="N1454" s="12" t="s">
        <v>3778</v>
      </c>
      <c r="O1454" s="12" t="s">
        <v>3569</v>
      </c>
      <c r="P1454" s="13" t="str">
        <f t="shared" si="23"/>
        <v>日本の歴史の中の亀山／現代の亀山／行政と政治／ごみ処理場</v>
      </c>
      <c r="Q1454" s="158"/>
      <c r="R1454" s="142" t="s">
        <v>3422</v>
      </c>
    </row>
    <row r="1455" spans="1:18" s="139" customFormat="1" ht="28.5" customHeight="1" x14ac:dyDescent="0.15">
      <c r="A1455" s="142" t="s">
        <v>2375</v>
      </c>
      <c r="B1455" s="142">
        <v>20</v>
      </c>
      <c r="C1455" s="143" t="s">
        <v>3774</v>
      </c>
      <c r="D1455" s="143">
        <v>1976</v>
      </c>
      <c r="E1455" s="144" t="s">
        <v>20</v>
      </c>
      <c r="F1455" s="143"/>
      <c r="G1455" s="143" t="s">
        <v>3779</v>
      </c>
      <c r="H1455" s="142"/>
      <c r="I1455" s="143"/>
      <c r="J1455" s="142"/>
      <c r="K1455" s="142"/>
      <c r="L1455" s="142"/>
      <c r="M1455" s="142"/>
      <c r="N1455" s="12" t="s">
        <v>3780</v>
      </c>
      <c r="O1455" s="12" t="s">
        <v>3781</v>
      </c>
      <c r="P1455" s="13" t="str">
        <f t="shared" si="23"/>
        <v>日本の歴史の中の亀山／現代の亀山／交通と通信／鉄道／関西線の複線電化への運動</v>
      </c>
      <c r="Q1455" s="158"/>
      <c r="R1455" s="142" t="s">
        <v>3422</v>
      </c>
    </row>
    <row r="1456" spans="1:18" s="139" customFormat="1" ht="15" customHeight="1" x14ac:dyDescent="0.15">
      <c r="A1456" s="142" t="s">
        <v>2375</v>
      </c>
      <c r="B1456" s="142">
        <v>20</v>
      </c>
      <c r="C1456" s="143" t="s">
        <v>3774</v>
      </c>
      <c r="D1456" s="143">
        <v>1976</v>
      </c>
      <c r="E1456" s="144" t="s">
        <v>20</v>
      </c>
      <c r="F1456" s="143"/>
      <c r="G1456" s="143" t="s">
        <v>3782</v>
      </c>
      <c r="H1456" s="142"/>
      <c r="I1456" s="143"/>
      <c r="J1456" s="142"/>
      <c r="K1456" s="142"/>
      <c r="L1456" s="142"/>
      <c r="M1456" s="142"/>
      <c r="N1456" s="12"/>
      <c r="O1456" s="12" t="e">
        <v>#VALUE!</v>
      </c>
      <c r="P1456" s="13" t="str">
        <f t="shared" si="23"/>
        <v/>
      </c>
      <c r="Q1456" s="158"/>
      <c r="R1456" s="142" t="s">
        <v>3422</v>
      </c>
    </row>
    <row r="1457" spans="1:18" s="139" customFormat="1" ht="29.1" customHeight="1" x14ac:dyDescent="0.15">
      <c r="A1457" s="142" t="s">
        <v>2375</v>
      </c>
      <c r="B1457" s="142">
        <v>20</v>
      </c>
      <c r="C1457" s="143" t="s">
        <v>3774</v>
      </c>
      <c r="D1457" s="143">
        <v>1976</v>
      </c>
      <c r="E1457" s="144" t="s">
        <v>34</v>
      </c>
      <c r="F1457" s="143"/>
      <c r="G1457" s="175" t="s">
        <v>3783</v>
      </c>
      <c r="H1457" s="142"/>
      <c r="I1457" s="143"/>
      <c r="J1457" s="142"/>
      <c r="K1457" s="142" t="s">
        <v>3784</v>
      </c>
      <c r="L1457" s="142"/>
      <c r="M1457" s="142"/>
      <c r="N1457" s="12" t="s">
        <v>3785</v>
      </c>
      <c r="O1457" s="12" t="s">
        <v>2599</v>
      </c>
      <c r="P1457" s="13" t="str">
        <f t="shared" si="23"/>
        <v>亀山市の名誉市民／旧亀山市の名誉市民</v>
      </c>
      <c r="Q1457" s="158"/>
      <c r="R1457" s="142" t="s">
        <v>3786</v>
      </c>
    </row>
    <row r="1458" spans="1:18" s="139" customFormat="1" ht="45.75" customHeight="1" x14ac:dyDescent="0.15">
      <c r="A1458" s="142" t="s">
        <v>2375</v>
      </c>
      <c r="B1458" s="142">
        <v>20</v>
      </c>
      <c r="C1458" s="143" t="s">
        <v>3774</v>
      </c>
      <c r="D1458" s="143">
        <v>1976</v>
      </c>
      <c r="E1458" s="144" t="s">
        <v>34</v>
      </c>
      <c r="F1458" s="143"/>
      <c r="G1458" s="175" t="s">
        <v>3787</v>
      </c>
      <c r="H1458" s="142"/>
      <c r="I1458" s="143"/>
      <c r="J1458" s="142"/>
      <c r="K1458" s="142" t="s">
        <v>2958</v>
      </c>
      <c r="L1458" s="142"/>
      <c r="M1458" s="142"/>
      <c r="N1458" s="19" t="s">
        <v>3785</v>
      </c>
      <c r="O1458" s="19" t="s">
        <v>2599</v>
      </c>
      <c r="P1458" s="20" t="str">
        <f t="shared" si="23"/>
        <v>亀山市の名誉市民／旧亀山市の名誉市民</v>
      </c>
      <c r="Q1458" s="21" t="str">
        <f>HYPERLINK("http://kameyamarekihaku.jp/23kikaku/info.html","企画展「－世界に冠たる亀山人－映画監督衣笠貞之助と言語学者服部四郎」")</f>
        <v>企画展「－世界に冠たる亀山人－映画監督衣笠貞之助と言語学者服部四郎」</v>
      </c>
      <c r="R1458" s="142" t="s">
        <v>3788</v>
      </c>
    </row>
    <row r="1459" spans="1:18" s="139" customFormat="1" ht="28.5" customHeight="1" x14ac:dyDescent="0.15">
      <c r="A1459" s="142" t="s">
        <v>2375</v>
      </c>
      <c r="B1459" s="142">
        <v>20</v>
      </c>
      <c r="C1459" s="143" t="s">
        <v>3774</v>
      </c>
      <c r="D1459" s="143">
        <v>1976</v>
      </c>
      <c r="E1459" s="144" t="s">
        <v>20</v>
      </c>
      <c r="F1459" s="143"/>
      <c r="G1459" s="143" t="s">
        <v>3789</v>
      </c>
      <c r="H1459" s="142" t="s">
        <v>199</v>
      </c>
      <c r="I1459" s="143" t="s">
        <v>2475</v>
      </c>
      <c r="J1459" s="142" t="s">
        <v>3790</v>
      </c>
      <c r="K1459" s="142"/>
      <c r="L1459" s="142"/>
      <c r="M1459" s="142"/>
      <c r="N1459" s="12"/>
      <c r="O1459" s="12" t="e">
        <v>#VALUE!</v>
      </c>
      <c r="P1459" s="13" t="str">
        <f t="shared" si="23"/>
        <v/>
      </c>
      <c r="Q1459" s="158"/>
      <c r="R1459" s="142" t="s">
        <v>2462</v>
      </c>
    </row>
    <row r="1460" spans="1:18" s="139" customFormat="1" ht="15" customHeight="1" x14ac:dyDescent="0.15">
      <c r="A1460" s="142" t="s">
        <v>2375</v>
      </c>
      <c r="B1460" s="142">
        <v>20</v>
      </c>
      <c r="C1460" s="143" t="s">
        <v>3774</v>
      </c>
      <c r="D1460" s="143">
        <v>1976</v>
      </c>
      <c r="E1460" s="144" t="s">
        <v>20</v>
      </c>
      <c r="F1460" s="143"/>
      <c r="G1460" s="143" t="s">
        <v>3791</v>
      </c>
      <c r="H1460" s="142" t="s">
        <v>1336</v>
      </c>
      <c r="I1460" s="143" t="s">
        <v>2393</v>
      </c>
      <c r="J1460" s="142" t="s">
        <v>3792</v>
      </c>
      <c r="K1460" s="142"/>
      <c r="L1460" s="142"/>
      <c r="M1460" s="142"/>
      <c r="N1460" s="12"/>
      <c r="O1460" s="12" t="e">
        <v>#VALUE!</v>
      </c>
      <c r="P1460" s="13" t="str">
        <f t="shared" si="23"/>
        <v/>
      </c>
      <c r="Q1460" s="158"/>
      <c r="R1460" s="142" t="s">
        <v>2371</v>
      </c>
    </row>
    <row r="1461" spans="1:18" s="139" customFormat="1" ht="15" customHeight="1" x14ac:dyDescent="0.15">
      <c r="A1461" s="142" t="s">
        <v>2375</v>
      </c>
      <c r="B1461" s="142">
        <v>20</v>
      </c>
      <c r="C1461" s="143" t="s">
        <v>3774</v>
      </c>
      <c r="D1461" s="143">
        <v>1976</v>
      </c>
      <c r="E1461" s="144" t="s">
        <v>20</v>
      </c>
      <c r="F1461" s="143"/>
      <c r="G1461" s="143" t="s">
        <v>3793</v>
      </c>
      <c r="H1461" s="142" t="s">
        <v>199</v>
      </c>
      <c r="I1461" s="175" t="s">
        <v>1800</v>
      </c>
      <c r="J1461" s="142" t="s">
        <v>3128</v>
      </c>
      <c r="K1461" s="142"/>
      <c r="L1461" s="142"/>
      <c r="M1461" s="142"/>
      <c r="N1461" s="12"/>
      <c r="O1461" s="12" t="e">
        <v>#VALUE!</v>
      </c>
      <c r="P1461" s="13" t="str">
        <f t="shared" si="23"/>
        <v/>
      </c>
      <c r="Q1461" s="158"/>
      <c r="R1461" s="142" t="s">
        <v>2371</v>
      </c>
    </row>
    <row r="1462" spans="1:18" s="139" customFormat="1" ht="15" customHeight="1" x14ac:dyDescent="0.15">
      <c r="A1462" s="142" t="s">
        <v>2375</v>
      </c>
      <c r="B1462" s="142">
        <v>20</v>
      </c>
      <c r="C1462" s="143" t="s">
        <v>3774</v>
      </c>
      <c r="D1462" s="143">
        <v>1976</v>
      </c>
      <c r="E1462" s="144" t="s">
        <v>20</v>
      </c>
      <c r="F1462" s="143"/>
      <c r="G1462" s="143" t="s">
        <v>3794</v>
      </c>
      <c r="H1462" s="142" t="s">
        <v>199</v>
      </c>
      <c r="I1462" s="175" t="s">
        <v>3618</v>
      </c>
      <c r="J1462" s="142" t="s">
        <v>3795</v>
      </c>
      <c r="K1462" s="142"/>
      <c r="L1462" s="142"/>
      <c r="M1462" s="142"/>
      <c r="N1462" s="12"/>
      <c r="O1462" s="12" t="e">
        <v>#VALUE!</v>
      </c>
      <c r="P1462" s="13" t="str">
        <f t="shared" si="23"/>
        <v/>
      </c>
      <c r="Q1462" s="158"/>
      <c r="R1462" s="142" t="s">
        <v>2371</v>
      </c>
    </row>
    <row r="1463" spans="1:18" s="139" customFormat="1" ht="29.1" customHeight="1" x14ac:dyDescent="0.15">
      <c r="A1463" s="142" t="s">
        <v>2375</v>
      </c>
      <c r="B1463" s="142">
        <v>20</v>
      </c>
      <c r="C1463" s="143" t="s">
        <v>3774</v>
      </c>
      <c r="D1463" s="143">
        <v>1976</v>
      </c>
      <c r="E1463" s="144" t="s">
        <v>20</v>
      </c>
      <c r="F1463" s="143"/>
      <c r="G1463" s="143" t="s">
        <v>3796</v>
      </c>
      <c r="H1463" s="142" t="s">
        <v>1336</v>
      </c>
      <c r="I1463" s="143"/>
      <c r="J1463" s="142"/>
      <c r="K1463" s="142"/>
      <c r="L1463" s="142"/>
      <c r="M1463" s="142"/>
      <c r="N1463" s="12" t="s">
        <v>3034</v>
      </c>
      <c r="O1463" s="12" t="s">
        <v>3035</v>
      </c>
      <c r="P1463" s="13" t="str">
        <f t="shared" si="23"/>
        <v>日本の歴史の中の亀山／現代の亀山／行政と政治／水道</v>
      </c>
      <c r="Q1463" s="158"/>
      <c r="R1463" s="142" t="s">
        <v>2462</v>
      </c>
    </row>
    <row r="1464" spans="1:18" s="139" customFormat="1" ht="28.5" customHeight="1" x14ac:dyDescent="0.15">
      <c r="A1464" s="142" t="s">
        <v>2375</v>
      </c>
      <c r="B1464" s="142">
        <v>20</v>
      </c>
      <c r="C1464" s="143" t="s">
        <v>3797</v>
      </c>
      <c r="D1464" s="143">
        <v>1977</v>
      </c>
      <c r="E1464" s="144" t="s">
        <v>59</v>
      </c>
      <c r="F1464" s="143" t="s">
        <v>3798</v>
      </c>
      <c r="G1464" s="143"/>
      <c r="H1464" s="142"/>
      <c r="I1464" s="143"/>
      <c r="J1464" s="142"/>
      <c r="K1464" s="142"/>
      <c r="L1464" s="142"/>
      <c r="M1464" s="142"/>
      <c r="N1464" s="12"/>
      <c r="O1464" s="12" t="e">
        <v>#VALUE!</v>
      </c>
      <c r="P1464" s="13" t="str">
        <f t="shared" si="23"/>
        <v/>
      </c>
      <c r="Q1464" s="158"/>
      <c r="R1464" s="142"/>
    </row>
    <row r="1465" spans="1:18" s="139" customFormat="1" ht="52.35" customHeight="1" x14ac:dyDescent="0.15">
      <c r="A1465" s="142" t="s">
        <v>2375</v>
      </c>
      <c r="B1465" s="142">
        <v>20</v>
      </c>
      <c r="C1465" s="143" t="s">
        <v>3797</v>
      </c>
      <c r="D1465" s="143">
        <v>1977</v>
      </c>
      <c r="E1465" s="144" t="s">
        <v>34</v>
      </c>
      <c r="F1465" s="143"/>
      <c r="G1465" s="143" t="s">
        <v>3799</v>
      </c>
      <c r="H1465" s="120" t="s">
        <v>464</v>
      </c>
      <c r="I1465" s="175" t="s">
        <v>1157</v>
      </c>
      <c r="J1465" s="142" t="s">
        <v>3800</v>
      </c>
      <c r="K1465" s="142"/>
      <c r="L1465" s="82" t="str">
        <f>HYPERLINK("http://kameyamarekihaku.jp/sisi/koukoHP/archives/kamejyoufurusya/01/01-02/gi.html?pf=KJFRUS0102-02-025.jpg&amp;pn=%E7%9F%B3%E4%BA%95%E5%85%84%E5%BC%9F%E6%95%B5%E8%A8%8E%E7%A2%91%EF%BC%88%E7%A7%BB%E8%A8%AD%E5%89%8D%EF%BC%89","画像史料：石井兄弟敵討碑（移設前）")</f>
        <v>画像史料：石井兄弟敵討碑（移設前）</v>
      </c>
      <c r="M1465" s="71" t="str">
        <f>HYPERLINK("http://kameyamarekihaku.jp/sisi/MinzokuHP/jirei/bunrui5/data5-1/gi.htm?pf=DSC04043-1.jpg&amp;pn=%E7%9F%B3%E4%BA%95%E5%85%84%E5%BC%9F%E4%BB%87%E8%A8%8E%E3%81%A1%E3%81%AE%E7%A2%91","石井兄弟敵討碑")</f>
        <v>石井兄弟敵討碑</v>
      </c>
      <c r="N1465" s="23" t="s">
        <v>3801</v>
      </c>
      <c r="O1465" s="23" t="s">
        <v>1514</v>
      </c>
      <c r="P1465" s="24" t="str">
        <f t="shared" si="23"/>
        <v>亀山のむかしばなし／亀山にまつわるひとびとの話／石井兄弟のかたきうち</v>
      </c>
      <c r="Q1465" s="25" t="str">
        <f>HYPERLINK("http://kameyamarekihaku.jp/sisi/MinzokuHP/jirei/bunrui11/data11-2/index11_2_1.htm","市史民俗編／口頭伝承〜石井兄弟の亀山の敵討ち")</f>
        <v>市史民俗編／口頭伝承〜石井兄弟の亀山の敵討ち</v>
      </c>
      <c r="R1465" s="142" t="s">
        <v>3802</v>
      </c>
    </row>
    <row r="1466" spans="1:18" s="139" customFormat="1" ht="28.5" customHeight="1" x14ac:dyDescent="0.15">
      <c r="A1466" s="142" t="s">
        <v>2375</v>
      </c>
      <c r="B1466" s="142">
        <v>20</v>
      </c>
      <c r="C1466" s="143" t="s">
        <v>3797</v>
      </c>
      <c r="D1466" s="143">
        <v>1977</v>
      </c>
      <c r="E1466" s="144" t="s">
        <v>20</v>
      </c>
      <c r="F1466" s="143"/>
      <c r="G1466" s="143" t="s">
        <v>3803</v>
      </c>
      <c r="H1466" s="142" t="s">
        <v>2191</v>
      </c>
      <c r="I1466" s="143" t="s">
        <v>3643</v>
      </c>
      <c r="J1466" s="142" t="s">
        <v>3804</v>
      </c>
      <c r="K1466" s="142"/>
      <c r="L1466" s="142"/>
      <c r="M1466" s="142"/>
      <c r="N1466" s="12"/>
      <c r="O1466" s="12" t="e">
        <v>#VALUE!</v>
      </c>
      <c r="P1466" s="13" t="str">
        <f t="shared" si="23"/>
        <v/>
      </c>
      <c r="Q1466" s="158"/>
      <c r="R1466" s="142" t="s">
        <v>3422</v>
      </c>
    </row>
    <row r="1467" spans="1:18" s="139" customFormat="1" ht="15" customHeight="1" x14ac:dyDescent="0.15">
      <c r="A1467" s="142" t="s">
        <v>2375</v>
      </c>
      <c r="B1467" s="142">
        <v>20</v>
      </c>
      <c r="C1467" s="143" t="s">
        <v>3797</v>
      </c>
      <c r="D1467" s="143">
        <v>1977</v>
      </c>
      <c r="E1467" s="144" t="s">
        <v>20</v>
      </c>
      <c r="F1467" s="143"/>
      <c r="G1467" s="143" t="s">
        <v>3805</v>
      </c>
      <c r="H1467" s="142" t="s">
        <v>2387</v>
      </c>
      <c r="I1467" s="143" t="s">
        <v>2161</v>
      </c>
      <c r="J1467" s="142" t="s">
        <v>3806</v>
      </c>
      <c r="K1467" s="142"/>
      <c r="L1467" s="142"/>
      <c r="M1467" s="142"/>
      <c r="N1467" s="12"/>
      <c r="O1467" s="12" t="e">
        <v>#VALUE!</v>
      </c>
      <c r="P1467" s="13" t="str">
        <f t="shared" si="23"/>
        <v/>
      </c>
      <c r="Q1467" s="158"/>
      <c r="R1467" s="142" t="s">
        <v>3422</v>
      </c>
    </row>
    <row r="1468" spans="1:18" s="139" customFormat="1" ht="43.5" customHeight="1" x14ac:dyDescent="0.15">
      <c r="A1468" s="142" t="s">
        <v>2375</v>
      </c>
      <c r="B1468" s="142">
        <v>20</v>
      </c>
      <c r="C1468" s="143" t="s">
        <v>3797</v>
      </c>
      <c r="D1468" s="143">
        <v>1977</v>
      </c>
      <c r="E1468" s="144" t="s">
        <v>34</v>
      </c>
      <c r="F1468" s="143"/>
      <c r="G1468" s="143" t="s">
        <v>3807</v>
      </c>
      <c r="H1468" s="142"/>
      <c r="I1468" s="143"/>
      <c r="J1468" s="142"/>
      <c r="K1468" s="142" t="s">
        <v>3808</v>
      </c>
      <c r="L1468" s="142"/>
      <c r="M1468" s="142"/>
      <c r="N1468" s="23" t="s">
        <v>2598</v>
      </c>
      <c r="O1468" s="23" t="s">
        <v>2599</v>
      </c>
      <c r="P1468" s="24" t="str">
        <f t="shared" si="23"/>
        <v>亀山市の名誉市民／旧亀山市の名誉市民</v>
      </c>
      <c r="Q1468" s="25" t="str">
        <f>HYPERLINK("http://kameyamarekihaku.jp/23kikaku/info.html","企画展「－世界に冠たる亀山人－映画監督衣笠貞之助と言語学者服部四郎」")</f>
        <v>企画展「－世界に冠たる亀山人－映画監督衣笠貞之助と言語学者服部四郎」</v>
      </c>
      <c r="R1468" s="142" t="s">
        <v>3809</v>
      </c>
    </row>
    <row r="1469" spans="1:18" s="139" customFormat="1" ht="15" customHeight="1" x14ac:dyDescent="0.15">
      <c r="A1469" s="142" t="s">
        <v>2375</v>
      </c>
      <c r="B1469" s="142">
        <v>20</v>
      </c>
      <c r="C1469" s="143" t="s">
        <v>3797</v>
      </c>
      <c r="D1469" s="143">
        <v>1977</v>
      </c>
      <c r="E1469" s="144" t="s">
        <v>20</v>
      </c>
      <c r="F1469" s="143"/>
      <c r="G1469" s="143" t="s">
        <v>3810</v>
      </c>
      <c r="H1469" s="142" t="s">
        <v>156</v>
      </c>
      <c r="I1469" s="175" t="s">
        <v>3811</v>
      </c>
      <c r="J1469" s="142" t="s">
        <v>3812</v>
      </c>
      <c r="K1469" s="142"/>
      <c r="L1469" s="142"/>
      <c r="M1469" s="142"/>
      <c r="N1469" s="12"/>
      <c r="O1469" s="12" t="e">
        <v>#VALUE!</v>
      </c>
      <c r="P1469" s="13" t="str">
        <f t="shared" si="23"/>
        <v/>
      </c>
      <c r="Q1469" s="158"/>
      <c r="R1469" s="142" t="s">
        <v>3422</v>
      </c>
    </row>
    <row r="1470" spans="1:18" s="139" customFormat="1" ht="33" customHeight="1" x14ac:dyDescent="0.15">
      <c r="A1470" s="142" t="s">
        <v>2375</v>
      </c>
      <c r="B1470" s="142">
        <v>20</v>
      </c>
      <c r="C1470" s="143" t="s">
        <v>3797</v>
      </c>
      <c r="D1470" s="143">
        <v>1977</v>
      </c>
      <c r="E1470" s="144" t="s">
        <v>20</v>
      </c>
      <c r="F1470" s="143"/>
      <c r="G1470" s="143" t="s">
        <v>3813</v>
      </c>
      <c r="H1470" s="142" t="s">
        <v>464</v>
      </c>
      <c r="I1470" s="175" t="s">
        <v>3433</v>
      </c>
      <c r="J1470" s="82" t="str">
        <f>HYPERLINK("http://kameyamarekihaku.jp/sisi/koukoHP/archives/kamejyougennjyo/01/01-03/gi.html?pf=KJGNJY0103-03-012.JPG&amp;pn=%E6%B1%A0%E3%81%AE%E5%81%B4%E8%B6%8A%E3%81%97%E3%81%AB%E8%A6%8B%E3%81%9F%E5%A4%9A%E9%96%80%E6%AB%93%E5%85%A8%E6%99%AF","池の側橋")</f>
        <v>池の側橋</v>
      </c>
      <c r="K1470" s="142"/>
      <c r="L1470" s="142"/>
      <c r="M1470" s="142"/>
      <c r="N1470" s="23"/>
      <c r="O1470" s="23" t="e">
        <v>#VALUE!</v>
      </c>
      <c r="P1470" s="24" t="str">
        <f t="shared" si="23"/>
        <v/>
      </c>
      <c r="Q1470" s="25" t="str">
        <f>HYPERLINK("http:/kameyamarekihaku.jp/sisi/RekisiHP/kingendai/quiz/meisho.kyuusho/meishou.html","市史近代・現代ページ 遺跡・名勝クイズ")</f>
        <v>市史近代・現代ページ 遺跡・名勝クイズ</v>
      </c>
      <c r="R1470" s="142" t="s">
        <v>3612</v>
      </c>
    </row>
    <row r="1471" spans="1:18" s="139" customFormat="1" ht="43.5" customHeight="1" x14ac:dyDescent="0.15">
      <c r="A1471" s="142" t="s">
        <v>2375</v>
      </c>
      <c r="B1471" s="142">
        <v>20</v>
      </c>
      <c r="C1471" s="143" t="s">
        <v>3797</v>
      </c>
      <c r="D1471" s="143">
        <v>1977</v>
      </c>
      <c r="E1471" s="144" t="s">
        <v>20</v>
      </c>
      <c r="F1471" s="143"/>
      <c r="G1471" s="143" t="s">
        <v>3814</v>
      </c>
      <c r="H1471" s="142" t="s">
        <v>464</v>
      </c>
      <c r="I1471" s="175" t="s">
        <v>677</v>
      </c>
      <c r="J1471" s="142" t="s">
        <v>3815</v>
      </c>
      <c r="K1471" s="142"/>
      <c r="L1471" s="142"/>
      <c r="M1471" s="142"/>
      <c r="N1471" s="12"/>
      <c r="O1471" s="12" t="e">
        <v>#VALUE!</v>
      </c>
      <c r="P1471" s="13" t="str">
        <f t="shared" si="23"/>
        <v/>
      </c>
      <c r="Q1471" s="158"/>
      <c r="R1471" s="142" t="s">
        <v>3422</v>
      </c>
    </row>
    <row r="1472" spans="1:18" s="139" customFormat="1" ht="15" customHeight="1" x14ac:dyDescent="0.15">
      <c r="A1472" s="142" t="s">
        <v>2375</v>
      </c>
      <c r="B1472" s="142">
        <v>20</v>
      </c>
      <c r="C1472" s="143" t="s">
        <v>3797</v>
      </c>
      <c r="D1472" s="143">
        <v>1977</v>
      </c>
      <c r="E1472" s="144" t="s">
        <v>34</v>
      </c>
      <c r="F1472" s="143"/>
      <c r="G1472" s="143" t="s">
        <v>3816</v>
      </c>
      <c r="H1472" s="142" t="s">
        <v>199</v>
      </c>
      <c r="I1472" s="143"/>
      <c r="J1472" s="142"/>
      <c r="K1472" s="142"/>
      <c r="L1472" s="142"/>
      <c r="M1472" s="142"/>
      <c r="N1472" s="12"/>
      <c r="O1472" s="12" t="e">
        <v>#VALUE!</v>
      </c>
      <c r="P1472" s="13" t="str">
        <f t="shared" si="23"/>
        <v/>
      </c>
      <c r="Q1472" s="158"/>
      <c r="R1472" s="142" t="s">
        <v>2371</v>
      </c>
    </row>
    <row r="1473" spans="1:18" s="139" customFormat="1" ht="28.5" customHeight="1" x14ac:dyDescent="0.15">
      <c r="A1473" s="142" t="s">
        <v>2375</v>
      </c>
      <c r="B1473" s="142">
        <v>20</v>
      </c>
      <c r="C1473" s="143" t="s">
        <v>3797</v>
      </c>
      <c r="D1473" s="143">
        <v>1977</v>
      </c>
      <c r="E1473" s="144" t="s">
        <v>20</v>
      </c>
      <c r="F1473" s="143"/>
      <c r="G1473" s="143" t="s">
        <v>3817</v>
      </c>
      <c r="H1473" s="142" t="s">
        <v>199</v>
      </c>
      <c r="I1473" s="175" t="s">
        <v>2475</v>
      </c>
      <c r="J1473" s="142" t="s">
        <v>3818</v>
      </c>
      <c r="K1473" s="142"/>
      <c r="L1473" s="142"/>
      <c r="M1473" s="142"/>
      <c r="N1473" s="12"/>
      <c r="O1473" s="12" t="e">
        <v>#VALUE!</v>
      </c>
      <c r="P1473" s="13" t="str">
        <f t="shared" si="23"/>
        <v/>
      </c>
      <c r="Q1473" s="158"/>
      <c r="R1473" s="142" t="s">
        <v>2462</v>
      </c>
    </row>
    <row r="1474" spans="1:18" s="139" customFormat="1" ht="28.5" customHeight="1" x14ac:dyDescent="0.15">
      <c r="A1474" s="142" t="s">
        <v>2375</v>
      </c>
      <c r="B1474" s="142">
        <v>20</v>
      </c>
      <c r="C1474" s="143" t="s">
        <v>3797</v>
      </c>
      <c r="D1474" s="143">
        <v>1977</v>
      </c>
      <c r="E1474" s="144" t="s">
        <v>20</v>
      </c>
      <c r="F1474" s="143"/>
      <c r="G1474" s="143" t="s">
        <v>3819</v>
      </c>
      <c r="H1474" s="142" t="s">
        <v>199</v>
      </c>
      <c r="I1474" s="175" t="s">
        <v>2475</v>
      </c>
      <c r="J1474" s="142" t="s">
        <v>3747</v>
      </c>
      <c r="K1474" s="142"/>
      <c r="L1474" s="142"/>
      <c r="M1474" s="142"/>
      <c r="N1474" s="12"/>
      <c r="O1474" s="12" t="e">
        <v>#VALUE!</v>
      </c>
      <c r="P1474" s="13" t="str">
        <f t="shared" si="23"/>
        <v/>
      </c>
      <c r="Q1474" s="158"/>
      <c r="R1474" s="142" t="s">
        <v>2462</v>
      </c>
    </row>
    <row r="1475" spans="1:18" s="139" customFormat="1" ht="15" customHeight="1" x14ac:dyDescent="0.15">
      <c r="A1475" s="142" t="s">
        <v>2375</v>
      </c>
      <c r="B1475" s="142">
        <v>20</v>
      </c>
      <c r="C1475" s="143" t="s">
        <v>3797</v>
      </c>
      <c r="D1475" s="143">
        <v>1977</v>
      </c>
      <c r="E1475" s="144" t="s">
        <v>20</v>
      </c>
      <c r="F1475" s="143"/>
      <c r="G1475" s="143" t="s">
        <v>3820</v>
      </c>
      <c r="H1475" s="142" t="s">
        <v>199</v>
      </c>
      <c r="I1475" s="175" t="s">
        <v>1800</v>
      </c>
      <c r="J1475" s="142"/>
      <c r="K1475" s="142"/>
      <c r="L1475" s="142"/>
      <c r="M1475" s="142"/>
      <c r="N1475" s="12"/>
      <c r="O1475" s="12" t="e">
        <v>#VALUE!</v>
      </c>
      <c r="P1475" s="13" t="str">
        <f t="shared" si="23"/>
        <v/>
      </c>
      <c r="Q1475" s="158"/>
      <c r="R1475" s="142" t="s">
        <v>2371</v>
      </c>
    </row>
    <row r="1476" spans="1:18" s="139" customFormat="1" ht="46.5" customHeight="1" x14ac:dyDescent="0.15">
      <c r="A1476" s="145" t="s">
        <v>2375</v>
      </c>
      <c r="B1476" s="145">
        <v>20</v>
      </c>
      <c r="C1476" s="146" t="s">
        <v>3797</v>
      </c>
      <c r="D1476" s="146">
        <v>1977</v>
      </c>
      <c r="E1476" s="147" t="s">
        <v>34</v>
      </c>
      <c r="F1476" s="146"/>
      <c r="G1476" s="146" t="s">
        <v>3821</v>
      </c>
      <c r="H1476" s="145" t="s">
        <v>199</v>
      </c>
      <c r="I1476" s="163" t="s">
        <v>3213</v>
      </c>
      <c r="J1476" s="71" t="str">
        <f>HYPERLINK("http://kameyamarekihaku.jp/sisi/koukoHP/archives/syouhouji01/01/01-01/gi.html?pf=SWS101-002.JPG&amp;pn=%E6%AD%A3%E6%B3%95%E5%AF%BA%E5%B1%B1%E8%8D%98%E8%B7%A1%E7%AC%AC1%E6%AC%A1%E7%99%BA%E6%8E%98%E8%AA%BF%E6%9F%BB%E8%AA%BF%E6%9F%BB%E5%89%8D%E7%8A%B6%E6%B3%81","正法寺山荘跡")</f>
        <v>正法寺山荘跡</v>
      </c>
      <c r="K1476" s="145"/>
      <c r="L1476" s="145"/>
      <c r="M1476" s="145"/>
      <c r="N1476" s="19" t="s">
        <v>3822</v>
      </c>
      <c r="O1476" s="19" t="s">
        <v>888</v>
      </c>
      <c r="P1476" s="20" t="str">
        <f t="shared" si="23"/>
        <v>日本の歴史の中の亀山／中世の亀山／東アジアとのかかわり／室町時代の文化と亀山／正法寺山荘と人々の交流</v>
      </c>
      <c r="Q1476" s="21" t="str">
        <f>HYPERLINK("http:/kameyamarekihaku.jp/sisi/KoukoHP/iseki.html","市史考古編遺跡一覧N0.51")</f>
        <v>市史考古編遺跡一覧N0.51</v>
      </c>
      <c r="R1476" s="145" t="s">
        <v>3823</v>
      </c>
    </row>
    <row r="1477" spans="1:18" s="139" customFormat="1" ht="46.5" customHeight="1" x14ac:dyDescent="0.15">
      <c r="A1477" s="151"/>
      <c r="B1477" s="151"/>
      <c r="C1477" s="152"/>
      <c r="D1477" s="152"/>
      <c r="E1477" s="153"/>
      <c r="F1477" s="152"/>
      <c r="G1477" s="152"/>
      <c r="H1477" s="151"/>
      <c r="I1477" s="169"/>
      <c r="J1477" s="102"/>
      <c r="K1477" s="151"/>
      <c r="L1477" s="151"/>
      <c r="M1477" s="151"/>
      <c r="N1477" s="29" t="s">
        <v>3824</v>
      </c>
      <c r="O1477" s="29" t="s">
        <v>625</v>
      </c>
      <c r="P1477" s="30" t="str">
        <f t="shared" ref="P1477:P1540" si="24">IFERROR(HYPERLINK(O1477,N1477),"")</f>
        <v>亀山のいいとこさがし／景色のよいところや歴史を知る手掛かりとなるもの／歴史上の場所／正法寺山荘跡</v>
      </c>
      <c r="Q1477" s="10"/>
      <c r="R1477" s="151"/>
    </row>
    <row r="1478" spans="1:18" s="139" customFormat="1" ht="43.5" customHeight="1" x14ac:dyDescent="0.15">
      <c r="A1478" s="142" t="s">
        <v>2375</v>
      </c>
      <c r="B1478" s="142">
        <v>20</v>
      </c>
      <c r="C1478" s="143" t="s">
        <v>3797</v>
      </c>
      <c r="D1478" s="143">
        <v>1977</v>
      </c>
      <c r="E1478" s="144" t="s">
        <v>20</v>
      </c>
      <c r="F1478" s="143"/>
      <c r="G1478" s="143" t="s">
        <v>3825</v>
      </c>
      <c r="H1478" s="142" t="s">
        <v>1341</v>
      </c>
      <c r="I1478" s="175" t="s">
        <v>2393</v>
      </c>
      <c r="J1478" s="142" t="s">
        <v>3826</v>
      </c>
      <c r="K1478" s="142"/>
      <c r="L1478" s="142"/>
      <c r="M1478" s="142"/>
      <c r="N1478" s="12" t="s">
        <v>2355</v>
      </c>
      <c r="O1478" s="12" t="s">
        <v>2356</v>
      </c>
      <c r="P1478" s="13" t="str">
        <f t="shared" si="24"/>
        <v>日本の歴史の中の亀山／現代の亀山／交通と通信／電話（電報電話局）</v>
      </c>
      <c r="Q1478" s="158"/>
      <c r="R1478" s="142" t="s">
        <v>2371</v>
      </c>
    </row>
    <row r="1479" spans="1:18" s="139" customFormat="1" ht="29.1" customHeight="1" x14ac:dyDescent="0.15">
      <c r="A1479" s="142" t="s">
        <v>2375</v>
      </c>
      <c r="B1479" s="142">
        <v>20</v>
      </c>
      <c r="C1479" s="143" t="s">
        <v>3827</v>
      </c>
      <c r="D1479" s="143">
        <v>1977</v>
      </c>
      <c r="E1479" s="144" t="s">
        <v>20</v>
      </c>
      <c r="F1479" s="143"/>
      <c r="G1479" s="143" t="s">
        <v>3828</v>
      </c>
      <c r="H1479" s="142" t="s">
        <v>199</v>
      </c>
      <c r="I1479" s="143"/>
      <c r="J1479" s="142"/>
      <c r="K1479" s="142"/>
      <c r="L1479" s="142"/>
      <c r="M1479" s="142"/>
      <c r="N1479" s="12"/>
      <c r="O1479" s="12" t="e">
        <v>#VALUE!</v>
      </c>
      <c r="P1479" s="13" t="str">
        <f t="shared" si="24"/>
        <v/>
      </c>
      <c r="Q1479" s="158"/>
      <c r="R1479" s="142" t="s">
        <v>2462</v>
      </c>
    </row>
    <row r="1480" spans="1:18" s="139" customFormat="1" ht="15" customHeight="1" x14ac:dyDescent="0.15">
      <c r="A1480" s="142" t="s">
        <v>2375</v>
      </c>
      <c r="B1480" s="142">
        <v>20</v>
      </c>
      <c r="C1480" s="143" t="s">
        <v>3829</v>
      </c>
      <c r="D1480" s="143">
        <v>1978</v>
      </c>
      <c r="E1480" s="144" t="s">
        <v>59</v>
      </c>
      <c r="F1480" s="143" t="s">
        <v>3830</v>
      </c>
      <c r="G1480" s="143"/>
      <c r="H1480" s="142"/>
      <c r="I1480" s="143"/>
      <c r="J1480" s="142"/>
      <c r="K1480" s="142"/>
      <c r="L1480" s="142"/>
      <c r="M1480" s="142"/>
      <c r="N1480" s="12"/>
      <c r="O1480" s="12" t="e">
        <v>#VALUE!</v>
      </c>
      <c r="P1480" s="13" t="str">
        <f t="shared" si="24"/>
        <v/>
      </c>
      <c r="Q1480" s="158"/>
      <c r="R1480" s="142"/>
    </row>
    <row r="1481" spans="1:18" s="139" customFormat="1" ht="15" customHeight="1" x14ac:dyDescent="0.15">
      <c r="A1481" s="142" t="s">
        <v>2375</v>
      </c>
      <c r="B1481" s="142">
        <v>20</v>
      </c>
      <c r="C1481" s="143" t="s">
        <v>3829</v>
      </c>
      <c r="D1481" s="143">
        <v>1978</v>
      </c>
      <c r="E1481" s="144" t="s">
        <v>20</v>
      </c>
      <c r="F1481" s="143"/>
      <c r="G1481" s="143" t="s">
        <v>3831</v>
      </c>
      <c r="H1481" s="142" t="s">
        <v>250</v>
      </c>
      <c r="I1481" s="143"/>
      <c r="J1481" s="142"/>
      <c r="K1481" s="142"/>
      <c r="L1481" s="142"/>
      <c r="M1481" s="142"/>
      <c r="N1481" s="12"/>
      <c r="O1481" s="12" t="e">
        <v>#VALUE!</v>
      </c>
      <c r="P1481" s="13" t="str">
        <f t="shared" si="24"/>
        <v/>
      </c>
      <c r="Q1481" s="158"/>
      <c r="R1481" s="142" t="s">
        <v>3422</v>
      </c>
    </row>
    <row r="1482" spans="1:18" s="139" customFormat="1" ht="36.75" customHeight="1" x14ac:dyDescent="0.15">
      <c r="A1482" s="142" t="s">
        <v>2375</v>
      </c>
      <c r="B1482" s="142">
        <v>20</v>
      </c>
      <c r="C1482" s="143" t="s">
        <v>3829</v>
      </c>
      <c r="D1482" s="143">
        <v>1978</v>
      </c>
      <c r="E1482" s="144" t="s">
        <v>20</v>
      </c>
      <c r="F1482" s="143"/>
      <c r="G1482" s="143" t="s">
        <v>3832</v>
      </c>
      <c r="H1482" s="142" t="s">
        <v>156</v>
      </c>
      <c r="I1482" s="175" t="s">
        <v>3833</v>
      </c>
      <c r="J1482" s="142" t="s">
        <v>3834</v>
      </c>
      <c r="K1482" s="142"/>
      <c r="L1482" s="142"/>
      <c r="M1482" s="142"/>
      <c r="N1482" s="12" t="s">
        <v>2919</v>
      </c>
      <c r="O1482" s="12" t="s">
        <v>2731</v>
      </c>
      <c r="P1482" s="13" t="str">
        <f t="shared" si="24"/>
        <v>日本の歴史の中の亀山／現代の亀山／教育と医療・福祉／保育園</v>
      </c>
      <c r="Q1482" s="158"/>
      <c r="R1482" s="142" t="s">
        <v>3835</v>
      </c>
    </row>
    <row r="1483" spans="1:18" s="139" customFormat="1" ht="15" customHeight="1" x14ac:dyDescent="0.15">
      <c r="A1483" s="142" t="s">
        <v>2375</v>
      </c>
      <c r="B1483" s="142">
        <v>20</v>
      </c>
      <c r="C1483" s="143" t="s">
        <v>3829</v>
      </c>
      <c r="D1483" s="143">
        <v>1978</v>
      </c>
      <c r="E1483" s="144" t="s">
        <v>20</v>
      </c>
      <c r="F1483" s="143"/>
      <c r="G1483" s="143" t="s">
        <v>3836</v>
      </c>
      <c r="H1483" s="142" t="s">
        <v>464</v>
      </c>
      <c r="I1483" s="143" t="s">
        <v>1600</v>
      </c>
      <c r="J1483" s="142" t="s">
        <v>3837</v>
      </c>
      <c r="K1483" s="142"/>
      <c r="L1483" s="142"/>
      <c r="M1483" s="142"/>
      <c r="N1483" s="12"/>
      <c r="O1483" s="12" t="e">
        <v>#VALUE!</v>
      </c>
      <c r="P1483" s="13" t="str">
        <f t="shared" si="24"/>
        <v/>
      </c>
      <c r="Q1483" s="158"/>
      <c r="R1483" s="142" t="s">
        <v>3422</v>
      </c>
    </row>
    <row r="1484" spans="1:18" s="139" customFormat="1" ht="15" customHeight="1" x14ac:dyDescent="0.15">
      <c r="A1484" s="142" t="s">
        <v>2375</v>
      </c>
      <c r="B1484" s="142">
        <v>20</v>
      </c>
      <c r="C1484" s="143" t="s">
        <v>3829</v>
      </c>
      <c r="D1484" s="143">
        <v>1978</v>
      </c>
      <c r="E1484" s="144" t="s">
        <v>20</v>
      </c>
      <c r="F1484" s="143"/>
      <c r="G1484" s="143" t="s">
        <v>3838</v>
      </c>
      <c r="H1484" s="142" t="s">
        <v>2160</v>
      </c>
      <c r="I1484" s="143" t="s">
        <v>3839</v>
      </c>
      <c r="J1484" s="142" t="s">
        <v>3840</v>
      </c>
      <c r="K1484" s="142"/>
      <c r="L1484" s="142"/>
      <c r="M1484" s="142"/>
      <c r="N1484" s="12"/>
      <c r="O1484" s="12" t="e">
        <v>#VALUE!</v>
      </c>
      <c r="P1484" s="13" t="str">
        <f t="shared" si="24"/>
        <v/>
      </c>
      <c r="Q1484" s="158"/>
      <c r="R1484" s="142" t="s">
        <v>3422</v>
      </c>
    </row>
    <row r="1485" spans="1:18" s="139" customFormat="1" ht="43.5" customHeight="1" x14ac:dyDescent="0.15">
      <c r="A1485" s="142" t="s">
        <v>2375</v>
      </c>
      <c r="B1485" s="142">
        <v>20</v>
      </c>
      <c r="C1485" s="143" t="s">
        <v>3829</v>
      </c>
      <c r="D1485" s="143">
        <v>1978</v>
      </c>
      <c r="E1485" s="144" t="s">
        <v>20</v>
      </c>
      <c r="F1485" s="143"/>
      <c r="G1485" s="143" t="s">
        <v>3841</v>
      </c>
      <c r="H1485" s="142" t="s">
        <v>2160</v>
      </c>
      <c r="I1485" s="143" t="s">
        <v>3839</v>
      </c>
      <c r="J1485" s="142" t="s">
        <v>3842</v>
      </c>
      <c r="K1485" s="142"/>
      <c r="L1485" s="142"/>
      <c r="M1485" s="142"/>
      <c r="N1485" s="23" t="s">
        <v>3843</v>
      </c>
      <c r="O1485" s="23" t="s">
        <v>2164</v>
      </c>
      <c r="P1485" s="24" t="str">
        <f t="shared" si="24"/>
        <v>学校のあゆみ／野登小学校のれきし</v>
      </c>
      <c r="Q1485" s="25" t="str">
        <f>HYPERLINK("http://kameyamarekihaku.jp/sisi/RekisiHP/kingendai/quiz/school/schoo01l.html","市史近代・現代ページ 学校クイズ")</f>
        <v>市史近代・現代ページ 学校クイズ</v>
      </c>
      <c r="R1485" s="142" t="s">
        <v>3844</v>
      </c>
    </row>
    <row r="1486" spans="1:18" s="139" customFormat="1" ht="28.5" customHeight="1" x14ac:dyDescent="0.15">
      <c r="A1486" s="142" t="s">
        <v>2375</v>
      </c>
      <c r="B1486" s="142">
        <v>20</v>
      </c>
      <c r="C1486" s="143" t="s">
        <v>3829</v>
      </c>
      <c r="D1486" s="143">
        <v>1978</v>
      </c>
      <c r="E1486" s="144" t="s">
        <v>20</v>
      </c>
      <c r="F1486" s="143"/>
      <c r="G1486" s="143" t="s">
        <v>3845</v>
      </c>
      <c r="H1486" s="142" t="s">
        <v>464</v>
      </c>
      <c r="I1486" s="143" t="s">
        <v>3846</v>
      </c>
      <c r="J1486" s="142" t="s">
        <v>3847</v>
      </c>
      <c r="K1486" s="142"/>
      <c r="L1486" s="142"/>
      <c r="M1486" s="142"/>
      <c r="N1486" s="12"/>
      <c r="O1486" s="12" t="e">
        <v>#VALUE!</v>
      </c>
      <c r="P1486" s="13" t="str">
        <f t="shared" si="24"/>
        <v/>
      </c>
      <c r="Q1486" s="158"/>
      <c r="R1486" s="142" t="s">
        <v>3848</v>
      </c>
    </row>
    <row r="1487" spans="1:18" s="139" customFormat="1" ht="28.5" customHeight="1" x14ac:dyDescent="0.15">
      <c r="A1487" s="142" t="s">
        <v>2375</v>
      </c>
      <c r="B1487" s="142">
        <v>20</v>
      </c>
      <c r="C1487" s="143" t="s">
        <v>3829</v>
      </c>
      <c r="D1487" s="143">
        <v>1978</v>
      </c>
      <c r="E1487" s="144" t="s">
        <v>20</v>
      </c>
      <c r="F1487" s="143"/>
      <c r="G1487" s="143" t="s">
        <v>3849</v>
      </c>
      <c r="H1487" s="142"/>
      <c r="I1487" s="143"/>
      <c r="J1487" s="142"/>
      <c r="K1487" s="142"/>
      <c r="L1487" s="142"/>
      <c r="M1487" s="142"/>
      <c r="N1487" s="12"/>
      <c r="O1487" s="12" t="e">
        <v>#VALUE!</v>
      </c>
      <c r="P1487" s="13" t="str">
        <f t="shared" si="24"/>
        <v/>
      </c>
      <c r="Q1487" s="158"/>
      <c r="R1487" s="142" t="s">
        <v>3850</v>
      </c>
    </row>
    <row r="1488" spans="1:18" s="139" customFormat="1" ht="15" customHeight="1" x14ac:dyDescent="0.15">
      <c r="A1488" s="142" t="s">
        <v>2375</v>
      </c>
      <c r="B1488" s="142">
        <v>20</v>
      </c>
      <c r="C1488" s="143" t="s">
        <v>3829</v>
      </c>
      <c r="D1488" s="143">
        <v>1978</v>
      </c>
      <c r="E1488" s="144" t="s">
        <v>20</v>
      </c>
      <c r="F1488" s="143"/>
      <c r="G1488" s="143" t="s">
        <v>3851</v>
      </c>
      <c r="H1488" s="142"/>
      <c r="I1488" s="143"/>
      <c r="J1488" s="142"/>
      <c r="K1488" s="142"/>
      <c r="L1488" s="142"/>
      <c r="M1488" s="142"/>
      <c r="N1488" s="12"/>
      <c r="O1488" s="12" t="e">
        <v>#VALUE!</v>
      </c>
      <c r="P1488" s="13" t="str">
        <f t="shared" si="24"/>
        <v/>
      </c>
      <c r="Q1488" s="158"/>
      <c r="R1488" s="142" t="s">
        <v>3422</v>
      </c>
    </row>
    <row r="1489" spans="1:18" s="139" customFormat="1" ht="15" customHeight="1" x14ac:dyDescent="0.15">
      <c r="A1489" s="142" t="s">
        <v>2375</v>
      </c>
      <c r="B1489" s="142">
        <v>20</v>
      </c>
      <c r="C1489" s="143" t="s">
        <v>3829</v>
      </c>
      <c r="D1489" s="143">
        <v>1978</v>
      </c>
      <c r="E1489" s="144" t="s">
        <v>20</v>
      </c>
      <c r="F1489" s="143"/>
      <c r="G1489" s="143" t="s">
        <v>3852</v>
      </c>
      <c r="H1489" s="142"/>
      <c r="I1489" s="143"/>
      <c r="J1489" s="142"/>
      <c r="K1489" s="142"/>
      <c r="L1489" s="142"/>
      <c r="M1489" s="142"/>
      <c r="N1489" s="12"/>
      <c r="O1489" s="12" t="e">
        <v>#VALUE!</v>
      </c>
      <c r="P1489" s="13" t="str">
        <f t="shared" si="24"/>
        <v/>
      </c>
      <c r="Q1489" s="158"/>
      <c r="R1489" s="142" t="s">
        <v>2371</v>
      </c>
    </row>
    <row r="1490" spans="1:18" s="139" customFormat="1" ht="15" customHeight="1" x14ac:dyDescent="0.15">
      <c r="A1490" s="142" t="s">
        <v>2375</v>
      </c>
      <c r="B1490" s="142">
        <v>20</v>
      </c>
      <c r="C1490" s="143" t="s">
        <v>3829</v>
      </c>
      <c r="D1490" s="143">
        <v>1978</v>
      </c>
      <c r="E1490" s="144" t="s">
        <v>20</v>
      </c>
      <c r="F1490" s="143"/>
      <c r="G1490" s="143" t="s">
        <v>3853</v>
      </c>
      <c r="H1490" s="142" t="s">
        <v>199</v>
      </c>
      <c r="I1490" s="143"/>
      <c r="J1490" s="142"/>
      <c r="K1490" s="142"/>
      <c r="L1490" s="142"/>
      <c r="M1490" s="142"/>
      <c r="N1490" s="12"/>
      <c r="O1490" s="12" t="e">
        <v>#VALUE!</v>
      </c>
      <c r="P1490" s="13" t="str">
        <f t="shared" si="24"/>
        <v/>
      </c>
      <c r="Q1490" s="158"/>
      <c r="R1490" s="142" t="s">
        <v>2371</v>
      </c>
    </row>
    <row r="1491" spans="1:18" s="139" customFormat="1" ht="15" customHeight="1" x14ac:dyDescent="0.15">
      <c r="A1491" s="142" t="s">
        <v>2375</v>
      </c>
      <c r="B1491" s="142">
        <v>20</v>
      </c>
      <c r="C1491" s="143" t="s">
        <v>3829</v>
      </c>
      <c r="D1491" s="143">
        <v>1978</v>
      </c>
      <c r="E1491" s="144" t="s">
        <v>20</v>
      </c>
      <c r="F1491" s="143"/>
      <c r="G1491" s="143" t="s">
        <v>3854</v>
      </c>
      <c r="H1491" s="142" t="s">
        <v>199</v>
      </c>
      <c r="I1491" s="143"/>
      <c r="J1491" s="142"/>
      <c r="K1491" s="142"/>
      <c r="L1491" s="142"/>
      <c r="M1491" s="142"/>
      <c r="N1491" s="12"/>
      <c r="O1491" s="12" t="e">
        <v>#VALUE!</v>
      </c>
      <c r="P1491" s="13" t="str">
        <f t="shared" si="24"/>
        <v/>
      </c>
      <c r="Q1491" s="158"/>
      <c r="R1491" s="142" t="s">
        <v>2371</v>
      </c>
    </row>
    <row r="1492" spans="1:18" s="139" customFormat="1" ht="45.75" customHeight="1" x14ac:dyDescent="0.15">
      <c r="A1492" s="142" t="s">
        <v>2375</v>
      </c>
      <c r="B1492" s="142">
        <v>20</v>
      </c>
      <c r="C1492" s="143" t="s">
        <v>3829</v>
      </c>
      <c r="D1492" s="143">
        <v>1978</v>
      </c>
      <c r="E1492" s="144" t="s">
        <v>20</v>
      </c>
      <c r="F1492" s="143"/>
      <c r="G1492" s="143" t="s">
        <v>3855</v>
      </c>
      <c r="H1492" s="142" t="s">
        <v>199</v>
      </c>
      <c r="I1492" s="143" t="s">
        <v>2475</v>
      </c>
      <c r="J1492" s="142" t="s">
        <v>3747</v>
      </c>
      <c r="K1492" s="142"/>
      <c r="L1492" s="142"/>
      <c r="M1492" s="142"/>
      <c r="N1492" s="12" t="s">
        <v>3165</v>
      </c>
      <c r="O1492" s="12" t="s">
        <v>1975</v>
      </c>
      <c r="P1492" s="13" t="str">
        <f t="shared" si="24"/>
        <v>亀山のいいとこさがし／景色のよいところや歴史を知る手掛かりとなるもの／山／名勝</v>
      </c>
      <c r="Q1492" s="158"/>
      <c r="R1492" s="142" t="s">
        <v>2371</v>
      </c>
    </row>
    <row r="1493" spans="1:18" s="139" customFormat="1" ht="43.5" customHeight="1" x14ac:dyDescent="0.15">
      <c r="A1493" s="142" t="s">
        <v>2375</v>
      </c>
      <c r="B1493" s="142">
        <v>20</v>
      </c>
      <c r="C1493" s="143" t="s">
        <v>3829</v>
      </c>
      <c r="D1493" s="143">
        <v>1978</v>
      </c>
      <c r="E1493" s="144" t="s">
        <v>20</v>
      </c>
      <c r="F1493" s="143"/>
      <c r="G1493" s="143" t="s">
        <v>3856</v>
      </c>
      <c r="H1493" s="142" t="s">
        <v>199</v>
      </c>
      <c r="I1493" s="143"/>
      <c r="J1493" s="142"/>
      <c r="K1493" s="142"/>
      <c r="L1493" s="142"/>
      <c r="M1493" s="142"/>
      <c r="N1493" s="12"/>
      <c r="O1493" s="12" t="e">
        <v>#VALUE!</v>
      </c>
      <c r="P1493" s="13" t="str">
        <f t="shared" si="24"/>
        <v/>
      </c>
      <c r="Q1493" s="158"/>
      <c r="R1493" s="142" t="s">
        <v>2371</v>
      </c>
    </row>
    <row r="1494" spans="1:18" s="139" customFormat="1" ht="28.5" customHeight="1" x14ac:dyDescent="0.15">
      <c r="A1494" s="142" t="s">
        <v>2375</v>
      </c>
      <c r="B1494" s="142">
        <v>20</v>
      </c>
      <c r="C1494" s="143" t="s">
        <v>3829</v>
      </c>
      <c r="D1494" s="143">
        <v>1978</v>
      </c>
      <c r="E1494" s="144" t="s">
        <v>20</v>
      </c>
      <c r="F1494" s="143"/>
      <c r="G1494" s="143" t="s">
        <v>3857</v>
      </c>
      <c r="H1494" s="142" t="s">
        <v>199</v>
      </c>
      <c r="I1494" s="143" t="s">
        <v>2367</v>
      </c>
      <c r="J1494" s="142" t="s">
        <v>3858</v>
      </c>
      <c r="K1494" s="142"/>
      <c r="L1494" s="142"/>
      <c r="M1494" s="142"/>
      <c r="N1494" s="12"/>
      <c r="O1494" s="12" t="e">
        <v>#VALUE!</v>
      </c>
      <c r="P1494" s="13" t="str">
        <f t="shared" si="24"/>
        <v/>
      </c>
      <c r="Q1494" s="158"/>
      <c r="R1494" s="142" t="s">
        <v>2371</v>
      </c>
    </row>
    <row r="1495" spans="1:18" s="139" customFormat="1" ht="15" customHeight="1" x14ac:dyDescent="0.15">
      <c r="A1495" s="142" t="s">
        <v>2375</v>
      </c>
      <c r="B1495" s="142">
        <v>20</v>
      </c>
      <c r="C1495" s="143" t="s">
        <v>3829</v>
      </c>
      <c r="D1495" s="143">
        <v>1978</v>
      </c>
      <c r="E1495" s="144" t="s">
        <v>34</v>
      </c>
      <c r="F1495" s="143"/>
      <c r="G1495" s="143" t="s">
        <v>3859</v>
      </c>
      <c r="H1495" s="142" t="s">
        <v>199</v>
      </c>
      <c r="I1495" s="143"/>
      <c r="J1495" s="142"/>
      <c r="K1495" s="142"/>
      <c r="L1495" s="142"/>
      <c r="M1495" s="142"/>
      <c r="N1495" s="12"/>
      <c r="O1495" s="12" t="e">
        <v>#VALUE!</v>
      </c>
      <c r="P1495" s="13" t="str">
        <f t="shared" si="24"/>
        <v/>
      </c>
      <c r="Q1495" s="158"/>
      <c r="R1495" s="142" t="s">
        <v>2371</v>
      </c>
    </row>
    <row r="1496" spans="1:18" s="139" customFormat="1" ht="15" customHeight="1" x14ac:dyDescent="0.15">
      <c r="A1496" s="142" t="s">
        <v>2375</v>
      </c>
      <c r="B1496" s="142">
        <v>20</v>
      </c>
      <c r="C1496" s="143" t="s">
        <v>3860</v>
      </c>
      <c r="D1496" s="143">
        <v>1979</v>
      </c>
      <c r="E1496" s="144" t="s">
        <v>20</v>
      </c>
      <c r="F1496" s="143" t="s">
        <v>3861</v>
      </c>
      <c r="G1496" s="143"/>
      <c r="H1496" s="142"/>
      <c r="I1496" s="143"/>
      <c r="J1496" s="142"/>
      <c r="K1496" s="142"/>
      <c r="L1496" s="142"/>
      <c r="M1496" s="142"/>
      <c r="N1496" s="12"/>
      <c r="O1496" s="12" t="e">
        <v>#VALUE!</v>
      </c>
      <c r="P1496" s="13" t="str">
        <f t="shared" si="24"/>
        <v/>
      </c>
      <c r="Q1496" s="158"/>
      <c r="R1496" s="142"/>
    </row>
    <row r="1497" spans="1:18" s="139" customFormat="1" ht="30.75" customHeight="1" x14ac:dyDescent="0.15">
      <c r="A1497" s="142" t="s">
        <v>2375</v>
      </c>
      <c r="B1497" s="142">
        <v>20</v>
      </c>
      <c r="C1497" s="143" t="s">
        <v>3860</v>
      </c>
      <c r="D1497" s="143">
        <v>1979</v>
      </c>
      <c r="E1497" s="144" t="s">
        <v>20</v>
      </c>
      <c r="F1497" s="143"/>
      <c r="G1497" s="143" t="s">
        <v>3862</v>
      </c>
      <c r="H1497" s="142" t="s">
        <v>2191</v>
      </c>
      <c r="I1497" s="143" t="s">
        <v>3643</v>
      </c>
      <c r="J1497" s="142" t="s">
        <v>3863</v>
      </c>
      <c r="K1497" s="142"/>
      <c r="L1497" s="142"/>
      <c r="M1497" s="142"/>
      <c r="N1497" s="12" t="s">
        <v>3628</v>
      </c>
      <c r="O1497" s="12" t="s">
        <v>2421</v>
      </c>
      <c r="P1497" s="13" t="str">
        <f t="shared" si="24"/>
        <v>日本の歴史の中の亀山／現代の亀山／教育と医療・福祉／幼稚園</v>
      </c>
      <c r="Q1497" s="158"/>
      <c r="R1497" s="142" t="s">
        <v>3864</v>
      </c>
    </row>
    <row r="1498" spans="1:18" s="139" customFormat="1" ht="15" customHeight="1" x14ac:dyDescent="0.15">
      <c r="A1498" s="142" t="s">
        <v>2375</v>
      </c>
      <c r="B1498" s="142">
        <v>20</v>
      </c>
      <c r="C1498" s="143" t="s">
        <v>3860</v>
      </c>
      <c r="D1498" s="143">
        <v>1979</v>
      </c>
      <c r="E1498" s="144" t="s">
        <v>34</v>
      </c>
      <c r="F1498" s="143"/>
      <c r="G1498" s="143" t="s">
        <v>3865</v>
      </c>
      <c r="H1498" s="142"/>
      <c r="I1498" s="143"/>
      <c r="J1498" s="142"/>
      <c r="K1498" s="142"/>
      <c r="L1498" s="142"/>
      <c r="M1498" s="142"/>
      <c r="N1498" s="12"/>
      <c r="O1498" s="12" t="e">
        <v>#VALUE!</v>
      </c>
      <c r="P1498" s="13" t="str">
        <f t="shared" si="24"/>
        <v/>
      </c>
      <c r="Q1498" s="158"/>
      <c r="R1498" s="142" t="s">
        <v>3422</v>
      </c>
    </row>
    <row r="1499" spans="1:18" s="139" customFormat="1" ht="28.5" customHeight="1" x14ac:dyDescent="0.15">
      <c r="A1499" s="142" t="s">
        <v>2375</v>
      </c>
      <c r="B1499" s="142">
        <v>20</v>
      </c>
      <c r="C1499" s="143" t="s">
        <v>3860</v>
      </c>
      <c r="D1499" s="143">
        <v>1979</v>
      </c>
      <c r="E1499" s="144" t="s">
        <v>20</v>
      </c>
      <c r="F1499" s="143"/>
      <c r="G1499" s="143" t="s">
        <v>3866</v>
      </c>
      <c r="H1499" s="142"/>
      <c r="I1499" s="143"/>
      <c r="J1499" s="142"/>
      <c r="K1499" s="142"/>
      <c r="L1499" s="142"/>
      <c r="M1499" s="142"/>
      <c r="N1499" s="12"/>
      <c r="O1499" s="12" t="e">
        <v>#VALUE!</v>
      </c>
      <c r="P1499" s="13" t="str">
        <f t="shared" si="24"/>
        <v/>
      </c>
      <c r="Q1499" s="158"/>
      <c r="R1499" s="142" t="s">
        <v>3453</v>
      </c>
    </row>
    <row r="1500" spans="1:18" s="139" customFormat="1" ht="43.5" customHeight="1" x14ac:dyDescent="0.15">
      <c r="A1500" s="142" t="s">
        <v>2375</v>
      </c>
      <c r="B1500" s="142">
        <v>20</v>
      </c>
      <c r="C1500" s="143" t="s">
        <v>3860</v>
      </c>
      <c r="D1500" s="143">
        <v>1979</v>
      </c>
      <c r="E1500" s="144" t="s">
        <v>20</v>
      </c>
      <c r="F1500" s="143"/>
      <c r="G1500" s="143" t="s">
        <v>3867</v>
      </c>
      <c r="H1500" s="142" t="s">
        <v>2191</v>
      </c>
      <c r="I1500" s="143" t="s">
        <v>3643</v>
      </c>
      <c r="J1500" s="142" t="s">
        <v>3868</v>
      </c>
      <c r="K1500" s="142"/>
      <c r="L1500" s="142"/>
      <c r="M1500" s="142"/>
      <c r="N1500" s="12" t="s">
        <v>3869</v>
      </c>
      <c r="O1500" s="12" t="s">
        <v>2977</v>
      </c>
      <c r="P1500" s="13" t="str">
        <f t="shared" si="24"/>
        <v>学校のあゆみ／井田川小学校のれきし</v>
      </c>
      <c r="Q1500" s="158"/>
      <c r="R1500" s="142" t="s">
        <v>3870</v>
      </c>
    </row>
    <row r="1501" spans="1:18" s="139" customFormat="1" ht="28.5" customHeight="1" x14ac:dyDescent="0.15">
      <c r="A1501" s="142" t="s">
        <v>2375</v>
      </c>
      <c r="B1501" s="142">
        <v>20</v>
      </c>
      <c r="C1501" s="143" t="s">
        <v>3860</v>
      </c>
      <c r="D1501" s="143">
        <v>1979</v>
      </c>
      <c r="E1501" s="144" t="s">
        <v>20</v>
      </c>
      <c r="F1501" s="143"/>
      <c r="G1501" s="143" t="s">
        <v>3871</v>
      </c>
      <c r="H1501" s="142" t="s">
        <v>464</v>
      </c>
      <c r="I1501" s="143" t="s">
        <v>3872</v>
      </c>
      <c r="J1501" s="142" t="s">
        <v>3873</v>
      </c>
      <c r="K1501" s="142"/>
      <c r="L1501" s="142"/>
      <c r="M1501" s="142"/>
      <c r="N1501" s="12"/>
      <c r="O1501" s="12" t="e">
        <v>#VALUE!</v>
      </c>
      <c r="P1501" s="13" t="str">
        <f t="shared" si="24"/>
        <v/>
      </c>
      <c r="Q1501" s="158"/>
      <c r="R1501" s="142" t="s">
        <v>3874</v>
      </c>
    </row>
    <row r="1502" spans="1:18" s="139" customFormat="1" ht="28.5" customHeight="1" x14ac:dyDescent="0.15">
      <c r="A1502" s="142" t="s">
        <v>2375</v>
      </c>
      <c r="B1502" s="142">
        <v>20</v>
      </c>
      <c r="C1502" s="143" t="s">
        <v>3860</v>
      </c>
      <c r="D1502" s="143">
        <v>1979</v>
      </c>
      <c r="E1502" s="144" t="s">
        <v>20</v>
      </c>
      <c r="F1502" s="143"/>
      <c r="G1502" s="143" t="s">
        <v>3875</v>
      </c>
      <c r="H1502" s="142" t="s">
        <v>464</v>
      </c>
      <c r="I1502" s="175" t="s">
        <v>394</v>
      </c>
      <c r="J1502" s="142" t="s">
        <v>3876</v>
      </c>
      <c r="K1502" s="142"/>
      <c r="L1502" s="142"/>
      <c r="M1502" s="142"/>
      <c r="N1502" s="12"/>
      <c r="O1502" s="12" t="e">
        <v>#VALUE!</v>
      </c>
      <c r="P1502" s="13" t="str">
        <f t="shared" si="24"/>
        <v/>
      </c>
      <c r="Q1502" s="158"/>
      <c r="R1502" s="142" t="s">
        <v>3422</v>
      </c>
    </row>
    <row r="1503" spans="1:18" s="139" customFormat="1" ht="28.5" customHeight="1" x14ac:dyDescent="0.15">
      <c r="A1503" s="142" t="s">
        <v>2375</v>
      </c>
      <c r="B1503" s="142">
        <v>20</v>
      </c>
      <c r="C1503" s="143" t="s">
        <v>3860</v>
      </c>
      <c r="D1503" s="143">
        <v>1979</v>
      </c>
      <c r="E1503" s="144" t="s">
        <v>20</v>
      </c>
      <c r="F1503" s="143"/>
      <c r="G1503" s="143" t="s">
        <v>3877</v>
      </c>
      <c r="H1503" s="142" t="s">
        <v>464</v>
      </c>
      <c r="I1503" s="175" t="s">
        <v>394</v>
      </c>
      <c r="J1503" s="142" t="s">
        <v>3876</v>
      </c>
      <c r="K1503" s="142"/>
      <c r="L1503" s="142"/>
      <c r="M1503" s="142"/>
      <c r="N1503" s="12"/>
      <c r="O1503" s="12" t="e">
        <v>#VALUE!</v>
      </c>
      <c r="P1503" s="13" t="str">
        <f t="shared" si="24"/>
        <v/>
      </c>
      <c r="Q1503" s="158"/>
      <c r="R1503" s="142" t="s">
        <v>3878</v>
      </c>
    </row>
    <row r="1504" spans="1:18" s="139" customFormat="1" ht="15" customHeight="1" x14ac:dyDescent="0.15">
      <c r="A1504" s="142" t="s">
        <v>2375</v>
      </c>
      <c r="B1504" s="142">
        <v>20</v>
      </c>
      <c r="C1504" s="143" t="s">
        <v>3860</v>
      </c>
      <c r="D1504" s="143">
        <v>1979</v>
      </c>
      <c r="E1504" s="144" t="s">
        <v>20</v>
      </c>
      <c r="F1504" s="143"/>
      <c r="G1504" s="143" t="s">
        <v>3879</v>
      </c>
      <c r="H1504" s="142"/>
      <c r="I1504" s="143"/>
      <c r="J1504" s="142"/>
      <c r="K1504" s="142"/>
      <c r="L1504" s="142"/>
      <c r="M1504" s="142"/>
      <c r="N1504" s="12"/>
      <c r="O1504" s="12" t="e">
        <v>#VALUE!</v>
      </c>
      <c r="P1504" s="13" t="str">
        <f t="shared" si="24"/>
        <v/>
      </c>
      <c r="Q1504" s="158"/>
      <c r="R1504" s="142" t="s">
        <v>3422</v>
      </c>
    </row>
    <row r="1505" spans="1:18" s="139" customFormat="1" ht="52.35" customHeight="1" x14ac:dyDescent="0.15">
      <c r="A1505" s="142" t="s">
        <v>2375</v>
      </c>
      <c r="B1505" s="142">
        <v>20</v>
      </c>
      <c r="C1505" s="143" t="s">
        <v>3860</v>
      </c>
      <c r="D1505" s="143">
        <v>1979</v>
      </c>
      <c r="E1505" s="144" t="s">
        <v>20</v>
      </c>
      <c r="F1505" s="143"/>
      <c r="G1505" s="143" t="s">
        <v>3880</v>
      </c>
      <c r="H1505" s="142" t="s">
        <v>3881</v>
      </c>
      <c r="I1505" s="175" t="s">
        <v>3032</v>
      </c>
      <c r="J1505" s="142" t="s">
        <v>3882</v>
      </c>
      <c r="K1505" s="142"/>
      <c r="L1505" s="142"/>
      <c r="M1505" s="142"/>
      <c r="N1505" s="12"/>
      <c r="O1505" s="12" t="e">
        <v>#VALUE!</v>
      </c>
      <c r="P1505" s="13" t="str">
        <f t="shared" si="24"/>
        <v/>
      </c>
      <c r="Q1505" s="158"/>
      <c r="R1505" s="142" t="s">
        <v>3422</v>
      </c>
    </row>
    <row r="1506" spans="1:18" s="139" customFormat="1" ht="28.5" customHeight="1" x14ac:dyDescent="0.15">
      <c r="A1506" s="142" t="s">
        <v>2375</v>
      </c>
      <c r="B1506" s="142">
        <v>20</v>
      </c>
      <c r="C1506" s="143" t="s">
        <v>3860</v>
      </c>
      <c r="D1506" s="143">
        <v>1979</v>
      </c>
      <c r="E1506" s="144" t="s">
        <v>20</v>
      </c>
      <c r="F1506" s="143"/>
      <c r="G1506" s="143" t="s">
        <v>3883</v>
      </c>
      <c r="H1506" s="142"/>
      <c r="I1506" s="143"/>
      <c r="J1506" s="142"/>
      <c r="K1506" s="142"/>
      <c r="L1506" s="142"/>
      <c r="M1506" s="142"/>
      <c r="N1506" s="12"/>
      <c r="O1506" s="12" t="e">
        <v>#VALUE!</v>
      </c>
      <c r="P1506" s="13" t="str">
        <f t="shared" si="24"/>
        <v/>
      </c>
      <c r="Q1506" s="158"/>
      <c r="R1506" s="142" t="s">
        <v>3422</v>
      </c>
    </row>
    <row r="1507" spans="1:18" s="139" customFormat="1" ht="28.5" customHeight="1" x14ac:dyDescent="0.15">
      <c r="A1507" s="142" t="s">
        <v>2375</v>
      </c>
      <c r="B1507" s="142">
        <v>20</v>
      </c>
      <c r="C1507" s="143" t="s">
        <v>3860</v>
      </c>
      <c r="D1507" s="143">
        <v>1979</v>
      </c>
      <c r="E1507" s="144" t="s">
        <v>20</v>
      </c>
      <c r="F1507" s="143"/>
      <c r="G1507" s="143" t="s">
        <v>3884</v>
      </c>
      <c r="H1507" s="142" t="s">
        <v>199</v>
      </c>
      <c r="I1507" s="143" t="s">
        <v>3885</v>
      </c>
      <c r="J1507" s="142"/>
      <c r="K1507" s="142"/>
      <c r="L1507" s="142"/>
      <c r="M1507" s="142"/>
      <c r="N1507" s="12" t="s">
        <v>3034</v>
      </c>
      <c r="O1507" s="12" t="s">
        <v>3035</v>
      </c>
      <c r="P1507" s="13" t="str">
        <f t="shared" si="24"/>
        <v>日本の歴史の中の亀山／現代の亀山／行政と政治／水道</v>
      </c>
      <c r="Q1507" s="158"/>
      <c r="R1507" s="142" t="s">
        <v>2371</v>
      </c>
    </row>
    <row r="1508" spans="1:18" s="139" customFormat="1" ht="15" customHeight="1" x14ac:dyDescent="0.15">
      <c r="A1508" s="142" t="s">
        <v>2375</v>
      </c>
      <c r="B1508" s="142">
        <v>20</v>
      </c>
      <c r="C1508" s="143" t="s">
        <v>3860</v>
      </c>
      <c r="D1508" s="143">
        <v>1979</v>
      </c>
      <c r="E1508" s="144" t="s">
        <v>20</v>
      </c>
      <c r="F1508" s="143"/>
      <c r="G1508" s="143" t="s">
        <v>3886</v>
      </c>
      <c r="H1508" s="142" t="s">
        <v>199</v>
      </c>
      <c r="I1508" s="143"/>
      <c r="J1508" s="142"/>
      <c r="K1508" s="142"/>
      <c r="L1508" s="142"/>
      <c r="M1508" s="142"/>
      <c r="N1508" s="12"/>
      <c r="O1508" s="12" t="e">
        <v>#VALUE!</v>
      </c>
      <c r="P1508" s="13" t="str">
        <f t="shared" si="24"/>
        <v/>
      </c>
      <c r="Q1508" s="158"/>
      <c r="R1508" s="142" t="s">
        <v>2371</v>
      </c>
    </row>
    <row r="1509" spans="1:18" s="139" customFormat="1" ht="29.1" customHeight="1" x14ac:dyDescent="0.15">
      <c r="A1509" s="142" t="s">
        <v>2375</v>
      </c>
      <c r="B1509" s="142">
        <v>20</v>
      </c>
      <c r="C1509" s="143" t="s">
        <v>3860</v>
      </c>
      <c r="D1509" s="143">
        <v>1979</v>
      </c>
      <c r="E1509" s="144" t="s">
        <v>20</v>
      </c>
      <c r="F1509" s="143"/>
      <c r="G1509" s="143" t="s">
        <v>3887</v>
      </c>
      <c r="H1509" s="142" t="s">
        <v>199</v>
      </c>
      <c r="I1509" s="143" t="s">
        <v>2689</v>
      </c>
      <c r="J1509" s="142" t="s">
        <v>3566</v>
      </c>
      <c r="K1509" s="142"/>
      <c r="L1509" s="142"/>
      <c r="M1509" s="82" t="str">
        <f>HYPERLINK("http:/kameyamarekihaku.jp/sisi/tuusiHP_next/kingendai/image/09/gi.htm?pf=3097sh009-08.JPG&amp;?pn=%E5%9B%BD%E7%99%BB%E9%8C%B2%E6%96%87%E5%8C%96%E8%B2%A1%E9%88%B4%E9%B9%BF%E5%B3%A0%E8%87%AA%E7%84%B6%E3%81%AE%E5%AE%B6","鈴鹿峠自然の家")</f>
        <v>鈴鹿峠自然の家</v>
      </c>
      <c r="N1509" s="12"/>
      <c r="O1509" s="12" t="e">
        <v>#VALUE!</v>
      </c>
      <c r="P1509" s="13" t="str">
        <f t="shared" si="24"/>
        <v/>
      </c>
      <c r="Q1509" s="158"/>
      <c r="R1509" s="142" t="s">
        <v>2462</v>
      </c>
    </row>
    <row r="1510" spans="1:18" s="139" customFormat="1" ht="15" customHeight="1" x14ac:dyDescent="0.15">
      <c r="A1510" s="142" t="s">
        <v>2375</v>
      </c>
      <c r="B1510" s="142">
        <v>20</v>
      </c>
      <c r="C1510" s="143" t="s">
        <v>3860</v>
      </c>
      <c r="D1510" s="143">
        <v>1979</v>
      </c>
      <c r="E1510" s="144" t="s">
        <v>20</v>
      </c>
      <c r="F1510" s="143"/>
      <c r="G1510" s="143" t="s">
        <v>3888</v>
      </c>
      <c r="H1510" s="142" t="s">
        <v>1336</v>
      </c>
      <c r="I1510" s="143" t="s">
        <v>2393</v>
      </c>
      <c r="J1510" s="142" t="s">
        <v>3527</v>
      </c>
      <c r="K1510" s="142"/>
      <c r="L1510" s="142"/>
      <c r="M1510" s="142"/>
      <c r="N1510" s="12" t="s">
        <v>3889</v>
      </c>
      <c r="O1510" s="12" t="s">
        <v>2450</v>
      </c>
      <c r="P1510" s="13" t="str">
        <f t="shared" si="24"/>
        <v>学校のあゆみ／加太小学校のれきし</v>
      </c>
      <c r="Q1510" s="158"/>
      <c r="R1510" s="142" t="s">
        <v>2371</v>
      </c>
    </row>
    <row r="1511" spans="1:18" s="139" customFormat="1" ht="15" customHeight="1" x14ac:dyDescent="0.15">
      <c r="A1511" s="142" t="s">
        <v>2375</v>
      </c>
      <c r="B1511" s="142">
        <v>20</v>
      </c>
      <c r="C1511" s="143" t="s">
        <v>3860</v>
      </c>
      <c r="D1511" s="143">
        <v>1979</v>
      </c>
      <c r="E1511" s="144" t="s">
        <v>20</v>
      </c>
      <c r="F1511" s="143"/>
      <c r="G1511" s="143" t="s">
        <v>3890</v>
      </c>
      <c r="H1511" s="142" t="s">
        <v>199</v>
      </c>
      <c r="I1511" s="143"/>
      <c r="J1511" s="142"/>
      <c r="K1511" s="142"/>
      <c r="L1511" s="142"/>
      <c r="M1511" s="142"/>
      <c r="N1511" s="12"/>
      <c r="O1511" s="12" t="e">
        <v>#VALUE!</v>
      </c>
      <c r="P1511" s="13" t="str">
        <f t="shared" si="24"/>
        <v/>
      </c>
      <c r="Q1511" s="158"/>
      <c r="R1511" s="142" t="s">
        <v>2371</v>
      </c>
    </row>
    <row r="1512" spans="1:18" s="139" customFormat="1" ht="28.5" customHeight="1" x14ac:dyDescent="0.15">
      <c r="A1512" s="142" t="s">
        <v>2375</v>
      </c>
      <c r="B1512" s="142">
        <v>20</v>
      </c>
      <c r="C1512" s="143" t="s">
        <v>3860</v>
      </c>
      <c r="D1512" s="143">
        <v>1979</v>
      </c>
      <c r="E1512" s="144" t="s">
        <v>20</v>
      </c>
      <c r="F1512" s="143"/>
      <c r="G1512" s="143" t="s">
        <v>3891</v>
      </c>
      <c r="H1512" s="142" t="s">
        <v>199</v>
      </c>
      <c r="I1512" s="143" t="s">
        <v>3892</v>
      </c>
      <c r="J1512" s="142" t="s">
        <v>3893</v>
      </c>
      <c r="K1512" s="142"/>
      <c r="L1512" s="142"/>
      <c r="M1512" s="142"/>
      <c r="N1512" s="12"/>
      <c r="O1512" s="12" t="e">
        <v>#VALUE!</v>
      </c>
      <c r="P1512" s="13" t="str">
        <f t="shared" si="24"/>
        <v/>
      </c>
      <c r="Q1512" s="158"/>
      <c r="R1512" s="142" t="s">
        <v>2371</v>
      </c>
    </row>
    <row r="1513" spans="1:18" s="139" customFormat="1" ht="29.1" customHeight="1" x14ac:dyDescent="0.15">
      <c r="A1513" s="142" t="s">
        <v>2375</v>
      </c>
      <c r="B1513" s="142">
        <v>20</v>
      </c>
      <c r="C1513" s="143" t="s">
        <v>3860</v>
      </c>
      <c r="D1513" s="143">
        <v>1979</v>
      </c>
      <c r="E1513" s="144" t="s">
        <v>20</v>
      </c>
      <c r="F1513" s="143"/>
      <c r="G1513" s="143" t="s">
        <v>3894</v>
      </c>
      <c r="H1513" s="142" t="s">
        <v>1336</v>
      </c>
      <c r="I1513" s="143" t="s">
        <v>2393</v>
      </c>
      <c r="J1513" s="142" t="s">
        <v>3895</v>
      </c>
      <c r="K1513" s="142"/>
      <c r="L1513" s="142"/>
      <c r="M1513" s="142"/>
      <c r="N1513" s="12"/>
      <c r="O1513" s="12" t="e">
        <v>#VALUE!</v>
      </c>
      <c r="P1513" s="13" t="str">
        <f t="shared" si="24"/>
        <v/>
      </c>
      <c r="Q1513" s="158"/>
      <c r="R1513" s="142" t="s">
        <v>2462</v>
      </c>
    </row>
    <row r="1514" spans="1:18" s="139" customFormat="1" ht="49.5" customHeight="1" x14ac:dyDescent="0.15">
      <c r="A1514" s="142" t="s">
        <v>2375</v>
      </c>
      <c r="B1514" s="142">
        <v>20</v>
      </c>
      <c r="C1514" s="143" t="s">
        <v>3860</v>
      </c>
      <c r="D1514" s="143">
        <v>1979</v>
      </c>
      <c r="E1514" s="144" t="s">
        <v>20</v>
      </c>
      <c r="F1514" s="143"/>
      <c r="G1514" s="143" t="s">
        <v>3896</v>
      </c>
      <c r="H1514" s="142" t="s">
        <v>199</v>
      </c>
      <c r="I1514" s="175" t="s">
        <v>3618</v>
      </c>
      <c r="J1514" s="142" t="s">
        <v>3897</v>
      </c>
      <c r="K1514" s="142"/>
      <c r="L1514" s="142"/>
      <c r="M1514" s="142"/>
      <c r="N1514" s="12" t="s">
        <v>3898</v>
      </c>
      <c r="O1514" s="12" t="s">
        <v>3899</v>
      </c>
      <c r="P1514" s="13" t="str">
        <f t="shared" si="24"/>
        <v>日本の歴史の中の亀山／現代の亀山／教育と医療・福祉／亀山市民会館と関町民会館</v>
      </c>
      <c r="Q1514" s="158"/>
      <c r="R1514" s="142" t="s">
        <v>2462</v>
      </c>
    </row>
    <row r="1515" spans="1:18" s="139" customFormat="1" ht="28.5" customHeight="1" x14ac:dyDescent="0.15">
      <c r="A1515" s="142" t="s">
        <v>2375</v>
      </c>
      <c r="B1515" s="142">
        <v>20</v>
      </c>
      <c r="C1515" s="143" t="s">
        <v>3860</v>
      </c>
      <c r="D1515" s="143">
        <v>1979</v>
      </c>
      <c r="E1515" s="144" t="s">
        <v>20</v>
      </c>
      <c r="F1515" s="143"/>
      <c r="G1515" s="143" t="s">
        <v>3900</v>
      </c>
      <c r="H1515" s="142" t="s">
        <v>199</v>
      </c>
      <c r="I1515" s="143" t="s">
        <v>2689</v>
      </c>
      <c r="J1515" s="142" t="s">
        <v>3496</v>
      </c>
      <c r="K1515" s="142"/>
      <c r="L1515" s="142"/>
      <c r="M1515" s="142"/>
      <c r="N1515" s="12" t="s">
        <v>3285</v>
      </c>
      <c r="O1515" s="12" t="s">
        <v>2731</v>
      </c>
      <c r="P1515" s="13" t="str">
        <f t="shared" si="24"/>
        <v>日本の歴史の中の亀山／現代の亀山／教育と医療・福祉／保育園</v>
      </c>
      <c r="Q1515" s="158"/>
      <c r="R1515" s="142" t="s">
        <v>2371</v>
      </c>
    </row>
    <row r="1516" spans="1:18" s="139" customFormat="1" ht="28.5" customHeight="1" x14ac:dyDescent="0.15">
      <c r="A1516" s="142" t="s">
        <v>2375</v>
      </c>
      <c r="B1516" s="142">
        <v>20</v>
      </c>
      <c r="C1516" s="143" t="s">
        <v>3860</v>
      </c>
      <c r="D1516" s="143">
        <v>1979</v>
      </c>
      <c r="E1516" s="144" t="s">
        <v>20</v>
      </c>
      <c r="F1516" s="143"/>
      <c r="G1516" s="143" t="s">
        <v>3901</v>
      </c>
      <c r="H1516" s="142" t="s">
        <v>199</v>
      </c>
      <c r="I1516" s="175" t="s">
        <v>2367</v>
      </c>
      <c r="J1516" s="142" t="s">
        <v>3902</v>
      </c>
      <c r="K1516" s="142"/>
      <c r="L1516" s="142"/>
      <c r="M1516" s="142"/>
      <c r="N1516" s="12"/>
      <c r="O1516" s="12" t="e">
        <v>#VALUE!</v>
      </c>
      <c r="P1516" s="13" t="str">
        <f t="shared" si="24"/>
        <v/>
      </c>
      <c r="Q1516" s="158"/>
      <c r="R1516" s="142" t="s">
        <v>2462</v>
      </c>
    </row>
    <row r="1517" spans="1:18" s="139" customFormat="1" ht="15" customHeight="1" x14ac:dyDescent="0.15">
      <c r="A1517" s="142" t="s">
        <v>2375</v>
      </c>
      <c r="B1517" s="142">
        <v>20</v>
      </c>
      <c r="C1517" s="143" t="s">
        <v>3860</v>
      </c>
      <c r="D1517" s="143">
        <v>1979</v>
      </c>
      <c r="E1517" s="144" t="s">
        <v>34</v>
      </c>
      <c r="F1517" s="143"/>
      <c r="G1517" s="143" t="s">
        <v>3903</v>
      </c>
      <c r="H1517" s="142" t="s">
        <v>199</v>
      </c>
      <c r="I1517" s="143" t="s">
        <v>3904</v>
      </c>
      <c r="J1517" s="142" t="s">
        <v>3905</v>
      </c>
      <c r="K1517" s="142"/>
      <c r="L1517" s="142"/>
      <c r="M1517" s="142"/>
      <c r="N1517" s="12"/>
      <c r="O1517" s="12" t="e">
        <v>#VALUE!</v>
      </c>
      <c r="P1517" s="13" t="str">
        <f t="shared" si="24"/>
        <v/>
      </c>
      <c r="Q1517" s="158"/>
      <c r="R1517" s="142" t="s">
        <v>2371</v>
      </c>
    </row>
    <row r="1518" spans="1:18" s="139" customFormat="1" ht="28.5" customHeight="1" x14ac:dyDescent="0.15">
      <c r="A1518" s="142" t="s">
        <v>2375</v>
      </c>
      <c r="B1518" s="142">
        <v>20</v>
      </c>
      <c r="C1518" s="143" t="s">
        <v>3906</v>
      </c>
      <c r="D1518" s="143">
        <v>1980</v>
      </c>
      <c r="E1518" s="144" t="s">
        <v>34</v>
      </c>
      <c r="F1518" s="143"/>
      <c r="G1518" s="143" t="s">
        <v>3907</v>
      </c>
      <c r="H1518" s="142" t="s">
        <v>464</v>
      </c>
      <c r="I1518" s="143" t="s">
        <v>3872</v>
      </c>
      <c r="J1518" s="142" t="s">
        <v>3908</v>
      </c>
      <c r="K1518" s="142"/>
      <c r="L1518" s="142"/>
      <c r="M1518" s="142"/>
      <c r="N1518" s="12" t="s">
        <v>3909</v>
      </c>
      <c r="O1518" s="12" t="s">
        <v>2759</v>
      </c>
      <c r="P1518" s="13" t="str">
        <f t="shared" si="24"/>
        <v>日本の歴史の中の亀山／現代の亀山／教育と医療・福祉／図書館</v>
      </c>
      <c r="Q1518" s="158"/>
      <c r="R1518" s="142" t="s">
        <v>3848</v>
      </c>
    </row>
    <row r="1519" spans="1:18" s="139" customFormat="1" ht="28.5" customHeight="1" x14ac:dyDescent="0.15">
      <c r="A1519" s="142" t="s">
        <v>2375</v>
      </c>
      <c r="B1519" s="142">
        <v>20</v>
      </c>
      <c r="C1519" s="143" t="s">
        <v>3906</v>
      </c>
      <c r="D1519" s="143">
        <v>1980</v>
      </c>
      <c r="E1519" s="144" t="s">
        <v>20</v>
      </c>
      <c r="F1519" s="143"/>
      <c r="G1519" s="161" t="s">
        <v>3910</v>
      </c>
      <c r="H1519" s="142" t="s">
        <v>156</v>
      </c>
      <c r="I1519" s="143"/>
      <c r="J1519" s="142" t="s">
        <v>3911</v>
      </c>
      <c r="K1519" s="142"/>
      <c r="L1519" s="142"/>
      <c r="M1519" s="142"/>
      <c r="N1519" s="12"/>
      <c r="O1519" s="12" t="e">
        <v>#VALUE!</v>
      </c>
      <c r="P1519" s="13" t="str">
        <f t="shared" si="24"/>
        <v/>
      </c>
      <c r="Q1519" s="158"/>
      <c r="R1519" s="142" t="s">
        <v>3422</v>
      </c>
    </row>
    <row r="1520" spans="1:18" s="139" customFormat="1" ht="28.5" customHeight="1" x14ac:dyDescent="0.15">
      <c r="A1520" s="142" t="s">
        <v>2375</v>
      </c>
      <c r="B1520" s="142">
        <v>20</v>
      </c>
      <c r="C1520" s="143" t="s">
        <v>3906</v>
      </c>
      <c r="D1520" s="143">
        <v>1980</v>
      </c>
      <c r="E1520" s="144" t="s">
        <v>20</v>
      </c>
      <c r="F1520" s="143"/>
      <c r="G1520" s="143" t="s">
        <v>3912</v>
      </c>
      <c r="H1520" s="142" t="s">
        <v>464</v>
      </c>
      <c r="I1520" s="143" t="s">
        <v>3121</v>
      </c>
      <c r="J1520" s="142" t="s">
        <v>3913</v>
      </c>
      <c r="K1520" s="142"/>
      <c r="L1520" s="142"/>
      <c r="M1520" s="142"/>
      <c r="N1520" s="12"/>
      <c r="O1520" s="12" t="e">
        <v>#VALUE!</v>
      </c>
      <c r="P1520" s="13" t="str">
        <f t="shared" si="24"/>
        <v/>
      </c>
      <c r="Q1520" s="158"/>
      <c r="R1520" s="142" t="s">
        <v>3914</v>
      </c>
    </row>
    <row r="1521" spans="1:18" s="139" customFormat="1" ht="28.5" customHeight="1" x14ac:dyDescent="0.15">
      <c r="A1521" s="142" t="s">
        <v>2375</v>
      </c>
      <c r="B1521" s="142">
        <v>20</v>
      </c>
      <c r="C1521" s="143" t="s">
        <v>3906</v>
      </c>
      <c r="D1521" s="143">
        <v>1980</v>
      </c>
      <c r="E1521" s="144" t="s">
        <v>20</v>
      </c>
      <c r="F1521" s="143"/>
      <c r="G1521" s="143" t="s">
        <v>3915</v>
      </c>
      <c r="H1521" s="142"/>
      <c r="I1521" s="143"/>
      <c r="J1521" s="142"/>
      <c r="K1521" s="142"/>
      <c r="L1521" s="142"/>
      <c r="M1521" s="142"/>
      <c r="N1521" s="12"/>
      <c r="O1521" s="12" t="e">
        <v>#VALUE!</v>
      </c>
      <c r="P1521" s="13" t="str">
        <f t="shared" si="24"/>
        <v/>
      </c>
      <c r="Q1521" s="158"/>
      <c r="R1521" s="142" t="s">
        <v>3422</v>
      </c>
    </row>
    <row r="1522" spans="1:18" s="139" customFormat="1" ht="15" customHeight="1" x14ac:dyDescent="0.15">
      <c r="A1522" s="142" t="s">
        <v>2375</v>
      </c>
      <c r="B1522" s="142">
        <v>20</v>
      </c>
      <c r="C1522" s="143" t="s">
        <v>3906</v>
      </c>
      <c r="D1522" s="143">
        <v>1980</v>
      </c>
      <c r="E1522" s="144" t="s">
        <v>20</v>
      </c>
      <c r="F1522" s="143"/>
      <c r="G1522" s="143" t="s">
        <v>3916</v>
      </c>
      <c r="H1522" s="142"/>
      <c r="I1522" s="143"/>
      <c r="J1522" s="142"/>
      <c r="K1522" s="142"/>
      <c r="L1522" s="142"/>
      <c r="M1522" s="142"/>
      <c r="N1522" s="12"/>
      <c r="O1522" s="12" t="e">
        <v>#VALUE!</v>
      </c>
      <c r="P1522" s="13" t="str">
        <f t="shared" si="24"/>
        <v/>
      </c>
      <c r="Q1522" s="158"/>
      <c r="R1522" s="142" t="s">
        <v>3422</v>
      </c>
    </row>
    <row r="1523" spans="1:18" s="139" customFormat="1" ht="29.25" customHeight="1" x14ac:dyDescent="0.15">
      <c r="A1523" s="142" t="s">
        <v>2375</v>
      </c>
      <c r="B1523" s="142">
        <v>20</v>
      </c>
      <c r="C1523" s="143" t="s">
        <v>3906</v>
      </c>
      <c r="D1523" s="143">
        <v>1980</v>
      </c>
      <c r="E1523" s="144" t="s">
        <v>34</v>
      </c>
      <c r="F1523" s="143"/>
      <c r="G1523" s="143" t="s">
        <v>3917</v>
      </c>
      <c r="H1523" s="142"/>
      <c r="I1523" s="143"/>
      <c r="J1523" s="142"/>
      <c r="K1523" s="142" t="s">
        <v>3918</v>
      </c>
      <c r="L1523" s="142"/>
      <c r="M1523" s="142"/>
      <c r="N1523" s="12" t="s">
        <v>3677</v>
      </c>
      <c r="O1523" s="12" t="s">
        <v>2599</v>
      </c>
      <c r="P1523" s="13" t="str">
        <f t="shared" si="24"/>
        <v>亀山市の名誉市民／旧亀山市の名誉市民</v>
      </c>
      <c r="Q1523" s="158"/>
      <c r="R1523" s="142" t="s">
        <v>3422</v>
      </c>
    </row>
    <row r="1524" spans="1:18" s="139" customFormat="1" ht="29.25" customHeight="1" x14ac:dyDescent="0.15">
      <c r="A1524" s="142" t="s">
        <v>2375</v>
      </c>
      <c r="B1524" s="142">
        <v>20</v>
      </c>
      <c r="C1524" s="143" t="s">
        <v>3906</v>
      </c>
      <c r="D1524" s="143">
        <v>1980</v>
      </c>
      <c r="E1524" s="144" t="s">
        <v>20</v>
      </c>
      <c r="F1524" s="143"/>
      <c r="G1524" s="143" t="s">
        <v>3919</v>
      </c>
      <c r="H1524" s="142"/>
      <c r="I1524" s="143"/>
      <c r="J1524" s="142"/>
      <c r="K1524" s="142"/>
      <c r="L1524" s="142"/>
      <c r="M1524" s="142"/>
      <c r="N1524" s="12"/>
      <c r="O1524" s="12" t="e">
        <v>#VALUE!</v>
      </c>
      <c r="P1524" s="13" t="str">
        <f t="shared" si="24"/>
        <v/>
      </c>
      <c r="Q1524" s="158"/>
      <c r="R1524" s="142" t="s">
        <v>3422</v>
      </c>
    </row>
    <row r="1525" spans="1:18" s="139" customFormat="1" ht="29.25" customHeight="1" x14ac:dyDescent="0.15">
      <c r="A1525" s="142" t="s">
        <v>2375</v>
      </c>
      <c r="B1525" s="142">
        <v>20</v>
      </c>
      <c r="C1525" s="143" t="s">
        <v>3906</v>
      </c>
      <c r="D1525" s="143">
        <v>1980</v>
      </c>
      <c r="E1525" s="144" t="s">
        <v>34</v>
      </c>
      <c r="F1525" s="143"/>
      <c r="G1525" s="143" t="s">
        <v>3920</v>
      </c>
      <c r="H1525" s="142" t="s">
        <v>464</v>
      </c>
      <c r="I1525" s="143" t="s">
        <v>3872</v>
      </c>
      <c r="J1525" s="142" t="s">
        <v>3921</v>
      </c>
      <c r="K1525" s="142"/>
      <c r="L1525" s="142"/>
      <c r="M1525" s="142"/>
      <c r="N1525" s="12" t="s">
        <v>3922</v>
      </c>
      <c r="O1525" s="12" t="s">
        <v>2759</v>
      </c>
      <c r="P1525" s="13" t="str">
        <f t="shared" si="24"/>
        <v>日本の歴史の中の亀山／現代の亀山／教育と医療・福祉／図書館</v>
      </c>
      <c r="Q1525" s="158"/>
      <c r="R1525" s="142" t="s">
        <v>3422</v>
      </c>
    </row>
    <row r="1526" spans="1:18" s="139" customFormat="1" ht="43.5" customHeight="1" x14ac:dyDescent="0.15">
      <c r="A1526" s="142" t="s">
        <v>2375</v>
      </c>
      <c r="B1526" s="142">
        <v>20</v>
      </c>
      <c r="C1526" s="143" t="s">
        <v>3906</v>
      </c>
      <c r="D1526" s="143">
        <v>1980</v>
      </c>
      <c r="E1526" s="144" t="s">
        <v>20</v>
      </c>
      <c r="F1526" s="143"/>
      <c r="G1526" s="175" t="s">
        <v>3923</v>
      </c>
      <c r="H1526" s="142" t="s">
        <v>2160</v>
      </c>
      <c r="I1526" s="143" t="s">
        <v>2388</v>
      </c>
      <c r="J1526" s="142" t="s">
        <v>3924</v>
      </c>
      <c r="K1526" s="142"/>
      <c r="L1526" s="142"/>
      <c r="M1526" s="142"/>
      <c r="N1526" s="12"/>
      <c r="O1526" s="12" t="e">
        <v>#VALUE!</v>
      </c>
      <c r="P1526" s="13" t="str">
        <f t="shared" si="24"/>
        <v/>
      </c>
      <c r="Q1526" s="158"/>
      <c r="R1526" s="142" t="s">
        <v>3422</v>
      </c>
    </row>
    <row r="1527" spans="1:18" s="139" customFormat="1" ht="33.75" customHeight="1" x14ac:dyDescent="0.15">
      <c r="A1527" s="142" t="s">
        <v>2375</v>
      </c>
      <c r="B1527" s="142">
        <v>20</v>
      </c>
      <c r="C1527" s="143" t="s">
        <v>3906</v>
      </c>
      <c r="D1527" s="143">
        <v>1980</v>
      </c>
      <c r="E1527" s="144" t="s">
        <v>20</v>
      </c>
      <c r="F1527" s="143"/>
      <c r="G1527" s="175" t="s">
        <v>3925</v>
      </c>
      <c r="H1527" s="142" t="s">
        <v>199</v>
      </c>
      <c r="I1527" s="143"/>
      <c r="J1527" s="142"/>
      <c r="K1527" s="142"/>
      <c r="L1527" s="142"/>
      <c r="M1527" s="142"/>
      <c r="N1527" s="23"/>
      <c r="O1527" s="23" t="e">
        <v>#VALUE!</v>
      </c>
      <c r="P1527" s="24" t="str">
        <f t="shared" si="24"/>
        <v/>
      </c>
      <c r="Q1527" s="25" t="str">
        <f>HYPERLINK("http:/kameyamarekihaku.jp/sisi/tuusiHP_next/tuusi-index.html#kingendai0904","市史通史編 近代・現代第9章第4節第2項")</f>
        <v>市史通史編 近代・現代第9章第4節第2項</v>
      </c>
      <c r="R1527" s="142" t="s">
        <v>2371</v>
      </c>
    </row>
    <row r="1528" spans="1:18" s="139" customFormat="1" ht="34.5" customHeight="1" x14ac:dyDescent="0.15">
      <c r="A1528" s="142" t="s">
        <v>2375</v>
      </c>
      <c r="B1528" s="142">
        <v>20</v>
      </c>
      <c r="C1528" s="143" t="s">
        <v>3906</v>
      </c>
      <c r="D1528" s="143">
        <v>1980</v>
      </c>
      <c r="E1528" s="144" t="s">
        <v>20</v>
      </c>
      <c r="F1528" s="143"/>
      <c r="G1528" s="143" t="s">
        <v>3926</v>
      </c>
      <c r="H1528" s="142"/>
      <c r="I1528" s="143"/>
      <c r="J1528" s="142"/>
      <c r="K1528" s="142"/>
      <c r="L1528" s="142"/>
      <c r="M1528" s="142"/>
      <c r="N1528" s="12" t="s">
        <v>3411</v>
      </c>
      <c r="O1528" s="12" t="s">
        <v>3405</v>
      </c>
      <c r="P1528" s="13" t="str">
        <f t="shared" si="24"/>
        <v>日本の歴史の中の亀山／現代の亀山／交通と通信／道路網の整備</v>
      </c>
      <c r="Q1528" s="158"/>
      <c r="R1528" s="142" t="s">
        <v>2371</v>
      </c>
    </row>
    <row r="1529" spans="1:18" s="139" customFormat="1" ht="28.15" customHeight="1" x14ac:dyDescent="0.15">
      <c r="A1529" s="142" t="s">
        <v>2375</v>
      </c>
      <c r="B1529" s="142">
        <v>20</v>
      </c>
      <c r="C1529" s="143" t="s">
        <v>3927</v>
      </c>
      <c r="D1529" s="143">
        <v>1980</v>
      </c>
      <c r="E1529" s="144" t="s">
        <v>20</v>
      </c>
      <c r="F1529" s="143"/>
      <c r="G1529" s="143" t="s">
        <v>3928</v>
      </c>
      <c r="H1529" s="142" t="s">
        <v>199</v>
      </c>
      <c r="I1529" s="143"/>
      <c r="J1529" s="142"/>
      <c r="K1529" s="142"/>
      <c r="L1529" s="142"/>
      <c r="M1529" s="142"/>
      <c r="N1529" s="12"/>
      <c r="O1529" s="12" t="e">
        <v>#VALUE!</v>
      </c>
      <c r="P1529" s="13" t="str">
        <f t="shared" si="24"/>
        <v/>
      </c>
      <c r="Q1529" s="158"/>
      <c r="R1529" s="142" t="s">
        <v>2371</v>
      </c>
    </row>
    <row r="1530" spans="1:18" s="139" customFormat="1" ht="15" customHeight="1" x14ac:dyDescent="0.15">
      <c r="A1530" s="145" t="s">
        <v>2375</v>
      </c>
      <c r="B1530" s="145">
        <v>20</v>
      </c>
      <c r="C1530" s="146" t="s">
        <v>3906</v>
      </c>
      <c r="D1530" s="146">
        <v>1980</v>
      </c>
      <c r="E1530" s="147" t="s">
        <v>34</v>
      </c>
      <c r="F1530" s="146"/>
      <c r="G1530" s="146" t="s">
        <v>3929</v>
      </c>
      <c r="H1530" s="145" t="s">
        <v>199</v>
      </c>
      <c r="I1530" s="163" t="s">
        <v>2475</v>
      </c>
      <c r="J1530" s="71" t="str">
        <f>HYPERLINK("http://kameyamarekihaku.jp/sisi/tuusiHP_next/kochuusei/image/10/gi.htm?pf=1310sh192.JPG&amp;?pn=%20%E5%9C%B0%E8%94%B5%E9%99%A2%EF%BC%88%E9%96%A2%E7%94%BA%E6%96%B0%E6%89%80%EF%BC%89","関地蔵院")</f>
        <v>関地蔵院</v>
      </c>
      <c r="K1530" s="145"/>
      <c r="L1530" s="145"/>
      <c r="M1530" s="145"/>
      <c r="N1530" s="32" t="s">
        <v>3930</v>
      </c>
      <c r="O1530" s="32" t="s">
        <v>774</v>
      </c>
      <c r="P1530" s="33" t="str">
        <f t="shared" si="24"/>
        <v>亀山のいいとこさがし／建物</v>
      </c>
      <c r="Q1530" s="17" t="str">
        <f>HYPERLINK("http:/kameyamarekihaku.jp/sisi/RekisiHP/kingendai/quiz/meisho.kyuusho/meishou.html","市史近代・現代ページ 遺跡・名勝クイズ")</f>
        <v>市史近代・現代ページ 遺跡・名勝クイズ</v>
      </c>
      <c r="R1530" s="347" t="s">
        <v>2451</v>
      </c>
    </row>
    <row r="1531" spans="1:18" s="139" customFormat="1" ht="62.25" customHeight="1" x14ac:dyDescent="0.15">
      <c r="A1531" s="151"/>
      <c r="B1531" s="151"/>
      <c r="C1531" s="152"/>
      <c r="D1531" s="152"/>
      <c r="E1531" s="153"/>
      <c r="F1531" s="152"/>
      <c r="G1531" s="152"/>
      <c r="H1531" s="151"/>
      <c r="I1531" s="169"/>
      <c r="J1531" s="102"/>
      <c r="K1531" s="151"/>
      <c r="L1531" s="151"/>
      <c r="M1531" s="151"/>
      <c r="N1531" s="29" t="s">
        <v>1729</v>
      </c>
      <c r="O1531" s="29" t="s">
        <v>776</v>
      </c>
      <c r="P1531" s="30" t="str">
        <f t="shared" si="24"/>
        <v>亀山のいいとこさがし／景色のよいところや歴史を知る手掛かりとなるもの／関宿のまちなみ／新所のまちなみ／地蔵院本堂・鐘楼・愛染堂</v>
      </c>
      <c r="Q1531" s="10" t="str">
        <f>HYPERLINK("http:/kameyamarekihaku.jp/sisi/tuusiHP_next/tuusi-index.html#kingendai0904","市史通史編 近代・現代第9章第4節第2項")</f>
        <v>市史通史編 近代・現代第9章第4節第2項</v>
      </c>
      <c r="R1531" s="348"/>
    </row>
    <row r="1532" spans="1:18" s="139" customFormat="1" ht="28.5" customHeight="1" x14ac:dyDescent="0.15">
      <c r="A1532" s="142" t="s">
        <v>2375</v>
      </c>
      <c r="B1532" s="142">
        <v>20</v>
      </c>
      <c r="C1532" s="143" t="s">
        <v>3927</v>
      </c>
      <c r="D1532" s="143">
        <v>1980</v>
      </c>
      <c r="E1532" s="144" t="s">
        <v>20</v>
      </c>
      <c r="F1532" s="143"/>
      <c r="G1532" s="143" t="s">
        <v>3931</v>
      </c>
      <c r="H1532" s="142" t="s">
        <v>199</v>
      </c>
      <c r="I1532" s="175" t="s">
        <v>3618</v>
      </c>
      <c r="J1532" s="142" t="s">
        <v>3932</v>
      </c>
      <c r="K1532" s="142"/>
      <c r="L1532" s="142"/>
      <c r="M1532" s="142"/>
      <c r="N1532" s="12"/>
      <c r="O1532" s="12" t="e">
        <v>#VALUE!</v>
      </c>
      <c r="P1532" s="13" t="str">
        <f t="shared" si="24"/>
        <v/>
      </c>
      <c r="Q1532" s="158"/>
      <c r="R1532" s="142" t="s">
        <v>2371</v>
      </c>
    </row>
    <row r="1533" spans="1:18" s="139" customFormat="1" ht="28.5" customHeight="1" x14ac:dyDescent="0.15">
      <c r="A1533" s="142" t="s">
        <v>2375</v>
      </c>
      <c r="B1533" s="142">
        <v>20</v>
      </c>
      <c r="C1533" s="143" t="s">
        <v>3906</v>
      </c>
      <c r="D1533" s="143">
        <v>1980</v>
      </c>
      <c r="E1533" s="144" t="s">
        <v>20</v>
      </c>
      <c r="F1533" s="143"/>
      <c r="G1533" s="161" t="s">
        <v>3933</v>
      </c>
      <c r="H1533" s="120" t="s">
        <v>199</v>
      </c>
      <c r="I1533" s="175" t="s">
        <v>3372</v>
      </c>
      <c r="J1533" s="142" t="s">
        <v>3934</v>
      </c>
      <c r="K1533" s="142"/>
      <c r="L1533" s="142"/>
      <c r="M1533" s="142"/>
      <c r="N1533" s="12"/>
      <c r="O1533" s="12" t="e">
        <v>#VALUE!</v>
      </c>
      <c r="P1533" s="13" t="str">
        <f t="shared" si="24"/>
        <v/>
      </c>
      <c r="Q1533" s="158"/>
      <c r="R1533" s="142" t="s">
        <v>2371</v>
      </c>
    </row>
    <row r="1534" spans="1:18" s="139" customFormat="1" ht="28.5" customHeight="1" x14ac:dyDescent="0.15">
      <c r="A1534" s="142" t="s">
        <v>2375</v>
      </c>
      <c r="B1534" s="142">
        <v>20</v>
      </c>
      <c r="C1534" s="143" t="s">
        <v>3906</v>
      </c>
      <c r="D1534" s="143">
        <v>1980</v>
      </c>
      <c r="E1534" s="144" t="s">
        <v>20</v>
      </c>
      <c r="F1534" s="143"/>
      <c r="G1534" s="143" t="s">
        <v>3935</v>
      </c>
      <c r="H1534" s="142" t="s">
        <v>199</v>
      </c>
      <c r="I1534" s="143"/>
      <c r="J1534" s="142"/>
      <c r="K1534" s="142"/>
      <c r="L1534" s="142"/>
      <c r="M1534" s="142"/>
      <c r="N1534" s="12"/>
      <c r="O1534" s="12" t="e">
        <v>#VALUE!</v>
      </c>
      <c r="P1534" s="13" t="str">
        <f t="shared" si="24"/>
        <v/>
      </c>
      <c r="Q1534" s="158"/>
      <c r="R1534" s="142" t="s">
        <v>2371</v>
      </c>
    </row>
    <row r="1535" spans="1:18" s="139" customFormat="1" ht="24" customHeight="1" x14ac:dyDescent="0.15">
      <c r="A1535" s="145" t="s">
        <v>2375</v>
      </c>
      <c r="B1535" s="145">
        <v>20</v>
      </c>
      <c r="C1535" s="146" t="s">
        <v>3906</v>
      </c>
      <c r="D1535" s="146">
        <v>1980</v>
      </c>
      <c r="E1535" s="147" t="s">
        <v>20</v>
      </c>
      <c r="F1535" s="146"/>
      <c r="G1535" s="146" t="s">
        <v>3936</v>
      </c>
      <c r="H1535" s="145" t="s">
        <v>199</v>
      </c>
      <c r="I1535" s="146"/>
      <c r="J1535" s="71" t="str">
        <f>HYPERLINK("http://kameyamarekihaku.jp/sisi/tuusiHP_next/kingendai/image/09/gi.htm?pf=3111sh009-20.JPG&amp;?pn=%E9%96%A2%E5%AE%BF%EF%BC%88%E4%B8%AD%E7%94%BA%EF%BC%9A%E6%98%AD%E5%92%8C58%E5%B9%B4%EF%BC%89","関宿（昭和58年）")</f>
        <v>関宿（昭和58年）</v>
      </c>
      <c r="K1535" s="145"/>
      <c r="L1535" s="145"/>
      <c r="M1535" s="16" t="str">
        <f>HYPERLINK("http://kameyamarekihaku.jp/sisi/tuusiHP_next/kochuusei/image/10/gi.htm?pf=1305sh187.JPG&amp;?pn=%20%E7%8F%BE%E5%9C%A8%E3%81%AE%E9%96%A2%E5%AE%BF%E5%86%85%E6%96%B0%E6%89%80%EF%BC%88%E9%96%A2%E7%94%BA%E6%96%B0%E6%89%80%EF%BC%89","現在の関宿")</f>
        <v>現在の関宿</v>
      </c>
      <c r="N1535" s="19" t="s">
        <v>3937</v>
      </c>
      <c r="O1535" s="19" t="s">
        <v>923</v>
      </c>
      <c r="P1535" s="20" t="str">
        <f t="shared" si="24"/>
        <v>むかしの道と交通／亀山の近世の道</v>
      </c>
      <c r="Q1535" s="21" t="str">
        <f>HYPERLINK("http:/kameyamarekihaku.jp/sisi/tuusiHP_next/tuusi-index.html#kingendai0904","市史通史編 近代・現代第9章第4節")</f>
        <v>市史通史編 近代・現代第9章第4節</v>
      </c>
      <c r="R1535" s="347" t="s">
        <v>3938</v>
      </c>
    </row>
    <row r="1536" spans="1:18" s="139" customFormat="1" ht="32.25" customHeight="1" x14ac:dyDescent="0.15">
      <c r="A1536" s="136"/>
      <c r="B1536" s="136"/>
      <c r="C1536" s="137"/>
      <c r="D1536" s="137"/>
      <c r="E1536" s="138"/>
      <c r="F1536" s="137"/>
      <c r="G1536" s="137"/>
      <c r="H1536" s="136"/>
      <c r="I1536" s="137"/>
      <c r="J1536" s="76"/>
      <c r="K1536" s="136"/>
      <c r="L1536" s="136"/>
      <c r="M1536" s="27"/>
      <c r="N1536" s="19" t="s">
        <v>3939</v>
      </c>
      <c r="O1536" s="19" t="s">
        <v>1251</v>
      </c>
      <c r="P1536" s="20" t="str">
        <f t="shared" si="24"/>
        <v>亀山城と宿場／４つの宿場／東海道・伊勢街道・大和街道分岐の宿場 関宿</v>
      </c>
      <c r="Q1536" s="21"/>
      <c r="R1536" s="332"/>
    </row>
    <row r="1537" spans="1:18" s="139" customFormat="1" ht="44.25" customHeight="1" x14ac:dyDescent="0.15">
      <c r="A1537" s="151"/>
      <c r="B1537" s="151"/>
      <c r="C1537" s="152"/>
      <c r="D1537" s="152"/>
      <c r="E1537" s="153"/>
      <c r="F1537" s="152"/>
      <c r="G1537" s="152"/>
      <c r="H1537" s="151"/>
      <c r="I1537" s="152"/>
      <c r="J1537" s="102"/>
      <c r="K1537" s="151"/>
      <c r="L1537" s="151"/>
      <c r="M1537" s="18"/>
      <c r="N1537" s="29" t="s">
        <v>3940</v>
      </c>
      <c r="O1537" s="29" t="s">
        <v>3941</v>
      </c>
      <c r="P1537" s="30" t="str">
        <f t="shared" si="24"/>
        <v>亀山のいいとこさがし／景色のよいところや歴史を知る手掛かりとなるもの／関宿のまちなみ</v>
      </c>
      <c r="Q1537" s="10"/>
      <c r="R1537" s="157"/>
    </row>
    <row r="1538" spans="1:18" s="139" customFormat="1" ht="15" customHeight="1" x14ac:dyDescent="0.15">
      <c r="A1538" s="142" t="s">
        <v>2375</v>
      </c>
      <c r="B1538" s="142">
        <v>20</v>
      </c>
      <c r="C1538" s="143" t="s">
        <v>3927</v>
      </c>
      <c r="D1538" s="143">
        <v>1980</v>
      </c>
      <c r="E1538" s="144" t="s">
        <v>20</v>
      </c>
      <c r="F1538" s="143"/>
      <c r="G1538" s="143" t="s">
        <v>3942</v>
      </c>
      <c r="H1538" s="142" t="s">
        <v>199</v>
      </c>
      <c r="I1538" s="143" t="s">
        <v>2367</v>
      </c>
      <c r="J1538" s="142" t="s">
        <v>3943</v>
      </c>
      <c r="K1538" s="142"/>
      <c r="L1538" s="142"/>
      <c r="M1538" s="142"/>
      <c r="N1538" s="12" t="s">
        <v>3211</v>
      </c>
      <c r="O1538" s="12" t="s">
        <v>3016</v>
      </c>
      <c r="P1538" s="13" t="str">
        <f t="shared" si="24"/>
        <v>学校のあゆみ／関小学校のれきし</v>
      </c>
      <c r="Q1538" s="158"/>
      <c r="R1538" s="142" t="s">
        <v>2371</v>
      </c>
    </row>
    <row r="1539" spans="1:18" s="139" customFormat="1" ht="15" customHeight="1" x14ac:dyDescent="0.15">
      <c r="A1539" s="142" t="s">
        <v>2375</v>
      </c>
      <c r="B1539" s="142">
        <v>20</v>
      </c>
      <c r="C1539" s="143" t="s">
        <v>3944</v>
      </c>
      <c r="D1539" s="143">
        <v>1981</v>
      </c>
      <c r="E1539" s="144" t="s">
        <v>20</v>
      </c>
      <c r="F1539" s="143"/>
      <c r="G1539" s="175" t="s">
        <v>3945</v>
      </c>
      <c r="H1539" s="142" t="s">
        <v>2160</v>
      </c>
      <c r="I1539" s="143" t="s">
        <v>2388</v>
      </c>
      <c r="J1539" s="142" t="s">
        <v>3946</v>
      </c>
      <c r="K1539" s="142"/>
      <c r="L1539" s="142"/>
      <c r="M1539" s="142"/>
      <c r="N1539" s="12"/>
      <c r="O1539" s="12" t="e">
        <v>#VALUE!</v>
      </c>
      <c r="P1539" s="13" t="str">
        <f t="shared" si="24"/>
        <v/>
      </c>
      <c r="Q1539" s="158"/>
      <c r="R1539" s="142" t="s">
        <v>2936</v>
      </c>
    </row>
    <row r="1540" spans="1:18" s="139" customFormat="1" ht="15" customHeight="1" x14ac:dyDescent="0.15">
      <c r="A1540" s="142" t="s">
        <v>2375</v>
      </c>
      <c r="B1540" s="142">
        <v>20</v>
      </c>
      <c r="C1540" s="143" t="s">
        <v>3944</v>
      </c>
      <c r="D1540" s="143">
        <v>1981</v>
      </c>
      <c r="E1540" s="144" t="s">
        <v>20</v>
      </c>
      <c r="F1540" s="143"/>
      <c r="G1540" s="143" t="s">
        <v>3947</v>
      </c>
      <c r="H1540" s="142" t="s">
        <v>3948</v>
      </c>
      <c r="I1540" s="143"/>
      <c r="J1540" s="142" t="s">
        <v>3949</v>
      </c>
      <c r="K1540" s="142"/>
      <c r="L1540" s="142"/>
      <c r="M1540" s="142"/>
      <c r="N1540" s="12"/>
      <c r="O1540" s="12" t="e">
        <v>#VALUE!</v>
      </c>
      <c r="P1540" s="13" t="str">
        <f t="shared" si="24"/>
        <v/>
      </c>
      <c r="Q1540" s="158"/>
      <c r="R1540" s="142" t="s">
        <v>2936</v>
      </c>
    </row>
    <row r="1541" spans="1:18" s="139" customFormat="1" ht="15" customHeight="1" x14ac:dyDescent="0.15">
      <c r="A1541" s="142" t="s">
        <v>2375</v>
      </c>
      <c r="B1541" s="142">
        <v>20</v>
      </c>
      <c r="C1541" s="143" t="s">
        <v>3944</v>
      </c>
      <c r="D1541" s="143">
        <v>1981</v>
      </c>
      <c r="E1541" s="144" t="s">
        <v>20</v>
      </c>
      <c r="F1541" s="143"/>
      <c r="G1541" s="143" t="s">
        <v>3950</v>
      </c>
      <c r="H1541" s="142" t="s">
        <v>464</v>
      </c>
      <c r="I1541" s="175" t="s">
        <v>394</v>
      </c>
      <c r="J1541" s="142" t="s">
        <v>3876</v>
      </c>
      <c r="K1541" s="142"/>
      <c r="L1541" s="142"/>
      <c r="M1541" s="142"/>
      <c r="N1541" s="12"/>
      <c r="O1541" s="12" t="e">
        <v>#VALUE!</v>
      </c>
      <c r="P1541" s="13" t="str">
        <f t="shared" ref="P1541:P1604" si="25">IFERROR(HYPERLINK(O1541,N1541),"")</f>
        <v/>
      </c>
      <c r="Q1541" s="158"/>
      <c r="R1541" s="142" t="s">
        <v>3951</v>
      </c>
    </row>
    <row r="1542" spans="1:18" s="139" customFormat="1" ht="16.5" customHeight="1" x14ac:dyDescent="0.15">
      <c r="A1542" s="145" t="s">
        <v>2375</v>
      </c>
      <c r="B1542" s="145">
        <v>20</v>
      </c>
      <c r="C1542" s="146" t="s">
        <v>3944</v>
      </c>
      <c r="D1542" s="146">
        <v>1981</v>
      </c>
      <c r="E1542" s="147" t="s">
        <v>34</v>
      </c>
      <c r="F1542" s="146"/>
      <c r="G1542" s="345" t="s">
        <v>3952</v>
      </c>
      <c r="H1542" s="145" t="s">
        <v>199</v>
      </c>
      <c r="I1542" s="146" t="s">
        <v>3953</v>
      </c>
      <c r="J1542" s="71" t="str">
        <f>HYPERLINK("http://kameyamarekihaku.jp/sisi/tuusiHP_next/kochuusei/image/06/gi.htm?pf=1195sh103.JPG&amp;?pn=%E6%AD%A3%E6%B3%95%E5%AF%BA%E5%B1%B1%E8%8D%98%E8%B7%A1%E7%8F%BE%E6%B3%81","正法寺山荘跡")</f>
        <v>正法寺山荘跡</v>
      </c>
      <c r="K1542" s="145"/>
      <c r="L1542" s="145"/>
      <c r="M1542" s="145" t="s">
        <v>3954</v>
      </c>
      <c r="N1542" s="310" t="s">
        <v>3822</v>
      </c>
      <c r="O1542" s="310" t="s">
        <v>888</v>
      </c>
      <c r="P1542" s="311" t="str">
        <f t="shared" si="25"/>
        <v>日本の歴史の中の亀山／中世の亀山／東アジアとのかかわり／室町時代の文化と亀山／正法寺山荘と人々の交流</v>
      </c>
      <c r="Q1542" s="21" t="str">
        <f>HYPERLINK("http:/kameyamarekihaku.jp/sisi/KoukoHP/iseki.html","市史考古編遺跡一覧N0.51")</f>
        <v>市史考古編遺跡一覧N0.51</v>
      </c>
      <c r="R1542" s="347" t="s">
        <v>3955</v>
      </c>
    </row>
    <row r="1543" spans="1:18" s="139" customFormat="1" ht="32.25" customHeight="1" x14ac:dyDescent="0.15">
      <c r="A1543" s="136"/>
      <c r="B1543" s="136"/>
      <c r="C1543" s="137"/>
      <c r="D1543" s="137"/>
      <c r="E1543" s="138"/>
      <c r="F1543" s="137"/>
      <c r="G1543" s="346"/>
      <c r="H1543" s="136"/>
      <c r="I1543" s="137"/>
      <c r="J1543" s="76"/>
      <c r="K1543" s="136"/>
      <c r="L1543" s="136"/>
      <c r="M1543" s="136"/>
      <c r="N1543" s="317"/>
      <c r="O1543" s="317" t="e">
        <v>#VALUE!</v>
      </c>
      <c r="P1543" s="318" t="str">
        <f t="shared" si="25"/>
        <v/>
      </c>
      <c r="Q1543" s="21" t="str">
        <f>HYPERLINK("http:/kameyamarekihaku.jp/sisi/KoukoHP/dai10sho.html","市史考古編第10章")</f>
        <v>市史考古編第10章</v>
      </c>
      <c r="R1543" s="332"/>
    </row>
    <row r="1544" spans="1:18" s="139" customFormat="1" ht="48.75" customHeight="1" x14ac:dyDescent="0.15">
      <c r="A1544" s="151"/>
      <c r="B1544" s="151"/>
      <c r="C1544" s="152"/>
      <c r="D1544" s="152"/>
      <c r="E1544" s="153"/>
      <c r="F1544" s="152"/>
      <c r="G1544" s="152"/>
      <c r="H1544" s="151"/>
      <c r="I1544" s="152"/>
      <c r="J1544" s="102"/>
      <c r="K1544" s="151"/>
      <c r="L1544" s="151"/>
      <c r="M1544" s="151"/>
      <c r="N1544" s="29" t="s">
        <v>624</v>
      </c>
      <c r="O1544" s="29" t="s">
        <v>625</v>
      </c>
      <c r="P1544" s="30" t="str">
        <f t="shared" si="25"/>
        <v>亀山のいいとこさがし／景色のよいところや歴史を知る手掛かりとなるもの／歴史上の場所／正法寺山荘跡</v>
      </c>
      <c r="Q1544" s="10" t="str">
        <f>HYPERLINK("http:/kameyamarekihaku.jp/sisi/tuusiHP_next/tuusi-index.html#kingendai0904","市史通史編 近代・現代第9章第4節")</f>
        <v>市史通史編 近代・現代第9章第4節</v>
      </c>
      <c r="R1544" s="348"/>
    </row>
    <row r="1545" spans="1:18" s="6" customFormat="1" ht="29.1" customHeight="1" x14ac:dyDescent="0.15">
      <c r="A1545" s="142" t="s">
        <v>2375</v>
      </c>
      <c r="B1545" s="120">
        <v>20</v>
      </c>
      <c r="C1545" s="175" t="s">
        <v>3944</v>
      </c>
      <c r="D1545" s="175">
        <v>1981</v>
      </c>
      <c r="E1545" s="144" t="s">
        <v>20</v>
      </c>
      <c r="F1545" s="175"/>
      <c r="G1545" s="175" t="s">
        <v>3956</v>
      </c>
      <c r="H1545" s="142" t="s">
        <v>199</v>
      </c>
      <c r="I1545" s="175" t="s">
        <v>2367</v>
      </c>
      <c r="J1545" s="120" t="s">
        <v>3957</v>
      </c>
      <c r="K1545" s="120"/>
      <c r="L1545" s="120"/>
      <c r="M1545" s="120"/>
      <c r="N1545" s="12"/>
      <c r="O1545" s="12" t="e">
        <v>#VALUE!</v>
      </c>
      <c r="P1545" s="13" t="str">
        <f t="shared" si="25"/>
        <v/>
      </c>
      <c r="Q1545" s="192"/>
      <c r="R1545" s="142" t="s">
        <v>2462</v>
      </c>
    </row>
    <row r="1546" spans="1:18" s="6" customFormat="1" ht="29.25" customHeight="1" x14ac:dyDescent="0.15">
      <c r="A1546" s="145" t="s">
        <v>2375</v>
      </c>
      <c r="B1546" s="88">
        <v>20</v>
      </c>
      <c r="C1546" s="163" t="s">
        <v>3944</v>
      </c>
      <c r="D1546" s="163">
        <v>1981</v>
      </c>
      <c r="E1546" s="147" t="s">
        <v>34</v>
      </c>
      <c r="F1546" s="163"/>
      <c r="G1546" s="163" t="s">
        <v>3958</v>
      </c>
      <c r="H1546" s="88" t="s">
        <v>1336</v>
      </c>
      <c r="I1546" s="163" t="s">
        <v>787</v>
      </c>
      <c r="J1546" s="16" t="str">
        <f>HYPERLINK("http://kameyamarekihaku.jp/sisi/koukoHP/archives/kabutojyouato/01/01-01/gi.html?pf=KBTJ0101-01-007.jpg&amp;pn=%E9%B9%BF%E4%BC%8F%E5%85%8E%E5%9F%8E%E8%B7%A1%E9%81%A0%E6%99%AF","鹿伏兎城跡")</f>
        <v>鹿伏兎城跡</v>
      </c>
      <c r="K1546" s="88"/>
      <c r="L1546" s="88"/>
      <c r="M1546" s="88" t="s">
        <v>3959</v>
      </c>
      <c r="N1546" s="32" t="s">
        <v>3960</v>
      </c>
      <c r="O1546" s="32" t="s">
        <v>3961</v>
      </c>
      <c r="P1546" s="33" t="str">
        <f t="shared" si="25"/>
        <v>亀山のむかしばなし／おもしろいおはなし／白鷹城</v>
      </c>
      <c r="Q1546" s="48" t="str">
        <f>HYPERLINK("http:/kameyamarekihaku.jp/sisi/koukoHP/archives/koukodb08.html","亀山市歴史アーカイブス　加太市場鹿伏兎城趾")</f>
        <v>亀山市歴史アーカイブス　加太市場鹿伏兎城趾</v>
      </c>
      <c r="R1546" s="145" t="s">
        <v>3208</v>
      </c>
    </row>
    <row r="1547" spans="1:18" s="6" customFormat="1" ht="47.25" customHeight="1" x14ac:dyDescent="0.15">
      <c r="A1547" s="151"/>
      <c r="B1547" s="91"/>
      <c r="C1547" s="169"/>
      <c r="D1547" s="169"/>
      <c r="E1547" s="153"/>
      <c r="F1547" s="169"/>
      <c r="G1547" s="169"/>
      <c r="H1547" s="91"/>
      <c r="I1547" s="169"/>
      <c r="J1547" s="18"/>
      <c r="K1547" s="91"/>
      <c r="L1547" s="91"/>
      <c r="M1547" s="91"/>
      <c r="N1547" s="29" t="s">
        <v>3962</v>
      </c>
      <c r="O1547" s="29" t="s">
        <v>757</v>
      </c>
      <c r="P1547" s="30" t="str">
        <f t="shared" si="25"/>
        <v>亀山のいいとこさがし／景色のよいところや歴史を知る手掛かりとなるもの／歴史上の場所／鹿伏兎城跡</v>
      </c>
      <c r="Q1547" s="10" t="str">
        <f>HYPERLINK("http:/kameyamarekihaku.jp/sisi/tuusiHP_next/tuusi-index.html#kingendai0904","市史通史編 近代・現代第9章第4節")</f>
        <v>市史通史編 近代・現代第9章第4節</v>
      </c>
      <c r="R1547" s="151"/>
    </row>
    <row r="1548" spans="1:18" s="6" customFormat="1" ht="15" customHeight="1" x14ac:dyDescent="0.15">
      <c r="A1548" s="142" t="s">
        <v>2375</v>
      </c>
      <c r="B1548" s="120">
        <v>20</v>
      </c>
      <c r="C1548" s="175" t="s">
        <v>3944</v>
      </c>
      <c r="D1548" s="175">
        <v>1981</v>
      </c>
      <c r="E1548" s="144" t="s">
        <v>34</v>
      </c>
      <c r="F1548" s="175"/>
      <c r="G1548" s="175" t="s">
        <v>3963</v>
      </c>
      <c r="H1548" s="120" t="s">
        <v>199</v>
      </c>
      <c r="I1548" s="175" t="s">
        <v>2689</v>
      </c>
      <c r="J1548" s="120" t="s">
        <v>3964</v>
      </c>
      <c r="K1548" s="120"/>
      <c r="L1548" s="120"/>
      <c r="M1548" s="120"/>
      <c r="N1548" s="12"/>
      <c r="O1548" s="12" t="e">
        <v>#VALUE!</v>
      </c>
      <c r="P1548" s="13" t="str">
        <f t="shared" si="25"/>
        <v/>
      </c>
      <c r="Q1548" s="192"/>
      <c r="R1548" s="142" t="s">
        <v>2371</v>
      </c>
    </row>
    <row r="1549" spans="1:18" s="6" customFormat="1" ht="28.5" customHeight="1" x14ac:dyDescent="0.15">
      <c r="A1549" s="142" t="s">
        <v>2375</v>
      </c>
      <c r="B1549" s="120">
        <v>20</v>
      </c>
      <c r="C1549" s="175" t="s">
        <v>3944</v>
      </c>
      <c r="D1549" s="175">
        <v>1981</v>
      </c>
      <c r="E1549" s="144" t="s">
        <v>20</v>
      </c>
      <c r="F1549" s="175"/>
      <c r="G1549" s="175" t="s">
        <v>3965</v>
      </c>
      <c r="H1549" s="120" t="s">
        <v>199</v>
      </c>
      <c r="I1549" s="175" t="s">
        <v>3966</v>
      </c>
      <c r="J1549" s="120" t="s">
        <v>3967</v>
      </c>
      <c r="K1549" s="120"/>
      <c r="L1549" s="120"/>
      <c r="M1549" s="120"/>
      <c r="N1549" s="12"/>
      <c r="O1549" s="12" t="e">
        <v>#VALUE!</v>
      </c>
      <c r="P1549" s="13" t="str">
        <f t="shared" si="25"/>
        <v/>
      </c>
      <c r="Q1549" s="192"/>
      <c r="R1549" s="142" t="s">
        <v>2371</v>
      </c>
    </row>
    <row r="1550" spans="1:18" s="6" customFormat="1" ht="28.5" customHeight="1" x14ac:dyDescent="0.15">
      <c r="A1550" s="142" t="s">
        <v>2375</v>
      </c>
      <c r="B1550" s="120">
        <v>20</v>
      </c>
      <c r="C1550" s="175" t="s">
        <v>3944</v>
      </c>
      <c r="D1550" s="175">
        <v>1981</v>
      </c>
      <c r="E1550" s="144" t="s">
        <v>20</v>
      </c>
      <c r="F1550" s="175"/>
      <c r="G1550" s="175" t="s">
        <v>3968</v>
      </c>
      <c r="H1550" s="120" t="s">
        <v>199</v>
      </c>
      <c r="I1550" s="175"/>
      <c r="J1550" s="120"/>
      <c r="K1550" s="120"/>
      <c r="L1550" s="120"/>
      <c r="M1550" s="120"/>
      <c r="N1550" s="12"/>
      <c r="O1550" s="12" t="e">
        <v>#VALUE!</v>
      </c>
      <c r="P1550" s="13" t="str">
        <f t="shared" si="25"/>
        <v/>
      </c>
      <c r="Q1550" s="192"/>
      <c r="R1550" s="142" t="s">
        <v>2371</v>
      </c>
    </row>
    <row r="1551" spans="1:18" s="6" customFormat="1" ht="52.5" customHeight="1" x14ac:dyDescent="0.15">
      <c r="A1551" s="142" t="s">
        <v>2375</v>
      </c>
      <c r="B1551" s="120">
        <v>20</v>
      </c>
      <c r="C1551" s="175" t="s">
        <v>3944</v>
      </c>
      <c r="D1551" s="175">
        <v>1981</v>
      </c>
      <c r="E1551" s="144" t="s">
        <v>20</v>
      </c>
      <c r="F1551" s="175"/>
      <c r="G1551" s="175" t="s">
        <v>3969</v>
      </c>
      <c r="H1551" s="120" t="s">
        <v>199</v>
      </c>
      <c r="I1551" s="175"/>
      <c r="J1551" s="120"/>
      <c r="K1551" s="120"/>
      <c r="L1551" s="120"/>
      <c r="M1551" s="120"/>
      <c r="N1551" s="23" t="s">
        <v>3970</v>
      </c>
      <c r="O1551" s="23" t="s">
        <v>3971</v>
      </c>
      <c r="P1551" s="24" t="str">
        <f t="shared" si="25"/>
        <v>亀山のいいとこさがし／人々がつたえてきたこと／踊りや唄／鈴鹿川・中の川流域のかんこ踊り</v>
      </c>
      <c r="Q1551" s="47" t="str">
        <f>HYPERLINK("http:/kameyamarekihaku.jp/sisi/tuusiHP_next/tuusi-index.html#kingendai0904","市史通史編 近代・現代第9章第4節")</f>
        <v>市史通史編 近代・現代第9章第4節</v>
      </c>
      <c r="R1551" s="142" t="s">
        <v>2858</v>
      </c>
    </row>
    <row r="1552" spans="1:18" s="6" customFormat="1" ht="21" customHeight="1" x14ac:dyDescent="0.15">
      <c r="A1552" s="145" t="s">
        <v>2375</v>
      </c>
      <c r="B1552" s="88">
        <v>20</v>
      </c>
      <c r="C1552" s="163" t="s">
        <v>3944</v>
      </c>
      <c r="D1552" s="163">
        <v>1981</v>
      </c>
      <c r="E1552" s="147" t="s">
        <v>34</v>
      </c>
      <c r="F1552" s="163"/>
      <c r="G1552" s="349" t="s">
        <v>3972</v>
      </c>
      <c r="H1552" s="88" t="s">
        <v>199</v>
      </c>
      <c r="I1552" s="163" t="s">
        <v>3973</v>
      </c>
      <c r="J1552" s="71" t="str">
        <f>HYPERLINK("http://kameyamarekihaku.jp/sisi/tuusiHP_next/kingendai/image/09/gi.htm?pf=3111sh009-20.JPG&amp;?pn=%E9%96%A2%E5%AE%BF%EF%BC%88%E4%B8%AD%E7%94%BA%EF%BC%9A%E6%98%AD%E5%92%8C58%E5%B9%B4%EF%BC%89","関宿")</f>
        <v>関宿</v>
      </c>
      <c r="K1552" s="88"/>
      <c r="L1552" s="88"/>
      <c r="M1552" s="16" t="str">
        <f>HYPERLINK("http://kameyamarekihaku.jp/sisi/tuusiHP_next/kochuusei/image/10/gi.htm?pf=1305sh187.JPG&amp;?pn=%20%E7%8F%BE%E5%9C%A8%E3%81%AE%E9%96%A2%E5%AE%BF%E5%86%85%E6%96%B0%E6%89%80%EF%BC%88%E9%96%A2%E7%94%BA%E6%96%B0%E6%89%80%EF%BC%89","現在の関宿")</f>
        <v>現在の関宿</v>
      </c>
      <c r="N1552" s="32" t="s">
        <v>3937</v>
      </c>
      <c r="O1552" s="32" t="s">
        <v>923</v>
      </c>
      <c r="P1552" s="33" t="str">
        <f t="shared" si="25"/>
        <v>むかしの道と交通／亀山の近世の道</v>
      </c>
      <c r="Q1552" s="48" t="str">
        <f>HYPERLINK("http:/kameyamarekihaku.jp/sisi/tuusiHP_next/tuusi-index.html#kingendai0904","市史通史編 近代・現代第9章第4節")</f>
        <v>市史通史編 近代・現代第9章第4節</v>
      </c>
      <c r="R1552" s="347" t="s">
        <v>2858</v>
      </c>
    </row>
    <row r="1553" spans="1:18" s="6" customFormat="1" ht="30" customHeight="1" x14ac:dyDescent="0.15">
      <c r="A1553" s="136"/>
      <c r="B1553" s="90"/>
      <c r="C1553" s="165"/>
      <c r="D1553" s="165"/>
      <c r="E1553" s="138"/>
      <c r="F1553" s="165"/>
      <c r="G1553" s="350"/>
      <c r="H1553" s="90"/>
      <c r="I1553" s="165"/>
      <c r="J1553" s="76"/>
      <c r="K1553" s="90"/>
      <c r="L1553" s="90"/>
      <c r="M1553" s="27"/>
      <c r="N1553" s="19" t="s">
        <v>3939</v>
      </c>
      <c r="O1553" s="19" t="s">
        <v>1251</v>
      </c>
      <c r="P1553" s="20" t="str">
        <f t="shared" si="25"/>
        <v>亀山城と宿場／４つの宿場／東海道・伊勢街道・大和街道分岐の宿場 関宿</v>
      </c>
      <c r="Q1553" s="49"/>
      <c r="R1553" s="332"/>
    </row>
    <row r="1554" spans="1:18" s="6" customFormat="1" ht="51" customHeight="1" x14ac:dyDescent="0.15">
      <c r="A1554" s="151"/>
      <c r="B1554" s="91"/>
      <c r="C1554" s="169"/>
      <c r="D1554" s="169"/>
      <c r="E1554" s="153"/>
      <c r="F1554" s="169"/>
      <c r="G1554" s="170"/>
      <c r="H1554" s="91"/>
      <c r="I1554" s="169"/>
      <c r="J1554" s="102"/>
      <c r="K1554" s="91"/>
      <c r="L1554" s="91"/>
      <c r="M1554" s="18"/>
      <c r="N1554" s="29" t="s">
        <v>3974</v>
      </c>
      <c r="O1554" s="29" t="s">
        <v>3941</v>
      </c>
      <c r="P1554" s="30" t="str">
        <f t="shared" si="25"/>
        <v>亀山のいいとこさがし／景色のよいところや歴史を知る手掛かりとなるもの／関宿のまちなみ</v>
      </c>
      <c r="Q1554" s="46"/>
      <c r="R1554" s="157"/>
    </row>
    <row r="1555" spans="1:18" s="6" customFormat="1" ht="28.5" customHeight="1" x14ac:dyDescent="0.15">
      <c r="A1555" s="142" t="s">
        <v>2375</v>
      </c>
      <c r="B1555" s="142">
        <v>20</v>
      </c>
      <c r="C1555" s="143" t="s">
        <v>3975</v>
      </c>
      <c r="D1555" s="143">
        <v>1982</v>
      </c>
      <c r="E1555" s="144" t="s">
        <v>20</v>
      </c>
      <c r="F1555" s="143" t="s">
        <v>3976</v>
      </c>
      <c r="G1555" s="175"/>
      <c r="H1555" s="120"/>
      <c r="I1555" s="175"/>
      <c r="J1555" s="120"/>
      <c r="K1555" s="120"/>
      <c r="L1555" s="120"/>
      <c r="M1555" s="120"/>
      <c r="N1555" s="12"/>
      <c r="O1555" s="12" t="e">
        <v>#VALUE!</v>
      </c>
      <c r="P1555" s="13" t="str">
        <f t="shared" si="25"/>
        <v/>
      </c>
      <c r="Q1555" s="192"/>
      <c r="R1555" s="142"/>
    </row>
    <row r="1556" spans="1:18" s="139" customFormat="1" ht="43.5" customHeight="1" x14ac:dyDescent="0.15">
      <c r="A1556" s="142" t="s">
        <v>2375</v>
      </c>
      <c r="B1556" s="142">
        <v>20</v>
      </c>
      <c r="C1556" s="143" t="s">
        <v>3975</v>
      </c>
      <c r="D1556" s="143">
        <v>1982</v>
      </c>
      <c r="E1556" s="144" t="s">
        <v>20</v>
      </c>
      <c r="F1556" s="142"/>
      <c r="G1556" s="161" t="s">
        <v>3977</v>
      </c>
      <c r="H1556" s="142"/>
      <c r="I1556" s="143"/>
      <c r="J1556" s="142" t="s">
        <v>3978</v>
      </c>
      <c r="K1556" s="142"/>
      <c r="L1556" s="142" t="s">
        <v>3979</v>
      </c>
      <c r="M1556" s="142"/>
      <c r="N1556" s="12" t="s">
        <v>3980</v>
      </c>
      <c r="O1556" s="12" t="s">
        <v>3781</v>
      </c>
      <c r="P1556" s="13" t="str">
        <f t="shared" si="25"/>
        <v>日本の歴史の中の亀山／現代の亀山／交通と通信／鉄道／関西線の複線電化への運動</v>
      </c>
      <c r="Q1556" s="158"/>
      <c r="R1556" s="142" t="s">
        <v>3422</v>
      </c>
    </row>
    <row r="1557" spans="1:18" s="139" customFormat="1" ht="28.5" customHeight="1" x14ac:dyDescent="0.15">
      <c r="A1557" s="142" t="s">
        <v>2375</v>
      </c>
      <c r="B1557" s="142">
        <v>20</v>
      </c>
      <c r="C1557" s="143" t="s">
        <v>3975</v>
      </c>
      <c r="D1557" s="143">
        <v>1982</v>
      </c>
      <c r="E1557" s="144" t="s">
        <v>20</v>
      </c>
      <c r="F1557" s="143"/>
      <c r="G1557" s="143" t="s">
        <v>3981</v>
      </c>
      <c r="H1557" s="142"/>
      <c r="I1557" s="143"/>
      <c r="J1557" s="142"/>
      <c r="K1557" s="142"/>
      <c r="L1557" s="142"/>
      <c r="M1557" s="142"/>
      <c r="N1557" s="12"/>
      <c r="O1557" s="12" t="e">
        <v>#VALUE!</v>
      </c>
      <c r="P1557" s="13" t="str">
        <f t="shared" si="25"/>
        <v/>
      </c>
      <c r="Q1557" s="158"/>
      <c r="R1557" s="142" t="s">
        <v>3422</v>
      </c>
    </row>
    <row r="1558" spans="1:18" s="139" customFormat="1" ht="42" customHeight="1" x14ac:dyDescent="0.15">
      <c r="A1558" s="142" t="s">
        <v>2375</v>
      </c>
      <c r="B1558" s="142">
        <v>20</v>
      </c>
      <c r="C1558" s="143" t="s">
        <v>3975</v>
      </c>
      <c r="D1558" s="143">
        <v>1982</v>
      </c>
      <c r="E1558" s="144" t="s">
        <v>34</v>
      </c>
      <c r="F1558" s="143"/>
      <c r="G1558" s="161" t="s">
        <v>3982</v>
      </c>
      <c r="H1558" s="142"/>
      <c r="I1558" s="143"/>
      <c r="J1558" s="142"/>
      <c r="K1558" s="142" t="s">
        <v>3808</v>
      </c>
      <c r="L1558" s="142"/>
      <c r="M1558" s="142"/>
      <c r="N1558" s="23" t="s">
        <v>2598</v>
      </c>
      <c r="O1558" s="23" t="s">
        <v>2599</v>
      </c>
      <c r="P1558" s="24" t="str">
        <f t="shared" si="25"/>
        <v>亀山市の名誉市民／旧亀山市の名誉市民</v>
      </c>
      <c r="Q1558" s="25" t="str">
        <f>HYPERLINK("http://kameyamarekihaku.jp/23kikaku/info.html","企画展「－世界に冠たる亀山人－映画監督衣笠貞之助と言語学者服部四郎」")</f>
        <v>企画展「－世界に冠たる亀山人－映画監督衣笠貞之助と言語学者服部四郎」</v>
      </c>
      <c r="R1558" s="142" t="s">
        <v>3809</v>
      </c>
    </row>
    <row r="1559" spans="1:18" s="139" customFormat="1" ht="28.5" customHeight="1" x14ac:dyDescent="0.15">
      <c r="A1559" s="142" t="s">
        <v>2375</v>
      </c>
      <c r="B1559" s="142">
        <v>20</v>
      </c>
      <c r="C1559" s="143" t="s">
        <v>3975</v>
      </c>
      <c r="D1559" s="143">
        <v>1982</v>
      </c>
      <c r="E1559" s="144" t="s">
        <v>20</v>
      </c>
      <c r="F1559" s="143"/>
      <c r="G1559" s="143" t="s">
        <v>3983</v>
      </c>
      <c r="H1559" s="142" t="s">
        <v>464</v>
      </c>
      <c r="I1559" s="143" t="s">
        <v>3420</v>
      </c>
      <c r="J1559" s="142" t="s">
        <v>3984</v>
      </c>
      <c r="K1559" s="142"/>
      <c r="L1559" s="142"/>
      <c r="M1559" s="142"/>
      <c r="N1559" s="12"/>
      <c r="O1559" s="12" t="e">
        <v>#VALUE!</v>
      </c>
      <c r="P1559" s="13" t="str">
        <f t="shared" si="25"/>
        <v/>
      </c>
      <c r="Q1559" s="158"/>
      <c r="R1559" s="142" t="s">
        <v>3985</v>
      </c>
    </row>
    <row r="1560" spans="1:18" s="139" customFormat="1" ht="16.5" customHeight="1" x14ac:dyDescent="0.15">
      <c r="A1560" s="142" t="s">
        <v>2375</v>
      </c>
      <c r="B1560" s="142">
        <v>20</v>
      </c>
      <c r="C1560" s="143" t="s">
        <v>3975</v>
      </c>
      <c r="D1560" s="143">
        <v>1982</v>
      </c>
      <c r="E1560" s="144" t="s">
        <v>20</v>
      </c>
      <c r="F1560" s="143"/>
      <c r="G1560" s="143" t="s">
        <v>3986</v>
      </c>
      <c r="H1560" s="142" t="s">
        <v>3321</v>
      </c>
      <c r="I1560" s="175" t="s">
        <v>3987</v>
      </c>
      <c r="J1560" s="142" t="s">
        <v>3988</v>
      </c>
      <c r="K1560" s="142"/>
      <c r="L1560" s="142"/>
      <c r="M1560" s="142"/>
      <c r="N1560" s="12" t="s">
        <v>3989</v>
      </c>
      <c r="O1560" s="12" t="s">
        <v>3990</v>
      </c>
      <c r="P1560" s="13" t="str">
        <f t="shared" si="25"/>
        <v>学校のあゆみ／亀山南小学校のれきし</v>
      </c>
      <c r="Q1560" s="158"/>
      <c r="R1560" s="142" t="s">
        <v>3991</v>
      </c>
    </row>
    <row r="1561" spans="1:18" s="139" customFormat="1" ht="28.5" customHeight="1" x14ac:dyDescent="0.15">
      <c r="A1561" s="142" t="s">
        <v>2375</v>
      </c>
      <c r="B1561" s="142">
        <v>20</v>
      </c>
      <c r="C1561" s="143" t="s">
        <v>3975</v>
      </c>
      <c r="D1561" s="143">
        <v>1982</v>
      </c>
      <c r="E1561" s="144" t="s">
        <v>20</v>
      </c>
      <c r="F1561" s="143"/>
      <c r="G1561" s="143" t="s">
        <v>3992</v>
      </c>
      <c r="H1561" s="142" t="s">
        <v>464</v>
      </c>
      <c r="I1561" s="143" t="s">
        <v>3872</v>
      </c>
      <c r="J1561" s="142" t="s">
        <v>3993</v>
      </c>
      <c r="K1561" s="142"/>
      <c r="L1561" s="142"/>
      <c r="M1561" s="142"/>
      <c r="N1561" s="12"/>
      <c r="O1561" s="12" t="e">
        <v>#VALUE!</v>
      </c>
      <c r="P1561" s="13" t="str">
        <f t="shared" si="25"/>
        <v/>
      </c>
      <c r="Q1561" s="158"/>
      <c r="R1561" s="142" t="s">
        <v>3422</v>
      </c>
    </row>
    <row r="1562" spans="1:18" s="139" customFormat="1" ht="28.5" customHeight="1" x14ac:dyDescent="0.15">
      <c r="A1562" s="142" t="s">
        <v>2375</v>
      </c>
      <c r="B1562" s="142">
        <v>20</v>
      </c>
      <c r="C1562" s="143" t="s">
        <v>3975</v>
      </c>
      <c r="D1562" s="143">
        <v>1982</v>
      </c>
      <c r="E1562" s="144" t="s">
        <v>20</v>
      </c>
      <c r="F1562" s="143"/>
      <c r="G1562" s="143" t="s">
        <v>3994</v>
      </c>
      <c r="H1562" s="142" t="s">
        <v>2191</v>
      </c>
      <c r="I1562" s="143" t="s">
        <v>3995</v>
      </c>
      <c r="J1562" s="142" t="s">
        <v>3996</v>
      </c>
      <c r="K1562" s="142"/>
      <c r="L1562" s="142"/>
      <c r="M1562" s="142"/>
      <c r="N1562" s="12"/>
      <c r="O1562" s="12" t="e">
        <v>#VALUE!</v>
      </c>
      <c r="P1562" s="13" t="str">
        <f t="shared" si="25"/>
        <v/>
      </c>
      <c r="Q1562" s="158"/>
      <c r="R1562" s="142" t="s">
        <v>3422</v>
      </c>
    </row>
    <row r="1563" spans="1:18" s="139" customFormat="1" ht="28.5" customHeight="1" x14ac:dyDescent="0.15">
      <c r="A1563" s="142" t="s">
        <v>2375</v>
      </c>
      <c r="B1563" s="142">
        <v>20</v>
      </c>
      <c r="C1563" s="143" t="s">
        <v>3975</v>
      </c>
      <c r="D1563" s="143">
        <v>1982</v>
      </c>
      <c r="E1563" s="144" t="s">
        <v>20</v>
      </c>
      <c r="F1563" s="143"/>
      <c r="G1563" s="143" t="s">
        <v>3997</v>
      </c>
      <c r="H1563" s="142" t="s">
        <v>464</v>
      </c>
      <c r="I1563" s="143" t="s">
        <v>3872</v>
      </c>
      <c r="J1563" s="142" t="s">
        <v>3998</v>
      </c>
      <c r="K1563" s="142"/>
      <c r="L1563" s="142"/>
      <c r="M1563" s="142"/>
      <c r="N1563" s="12" t="s">
        <v>3999</v>
      </c>
      <c r="O1563" s="12" t="s">
        <v>2759</v>
      </c>
      <c r="P1563" s="13" t="str">
        <f t="shared" si="25"/>
        <v>日本の歴史の中の亀山／現代の亀山／教育と医療・福祉／図書館</v>
      </c>
      <c r="Q1563" s="158"/>
      <c r="R1563" s="142" t="s">
        <v>4000</v>
      </c>
    </row>
    <row r="1564" spans="1:18" s="139" customFormat="1" ht="28.5" customHeight="1" x14ac:dyDescent="0.15">
      <c r="A1564" s="142" t="s">
        <v>2375</v>
      </c>
      <c r="B1564" s="142">
        <v>20</v>
      </c>
      <c r="C1564" s="143" t="s">
        <v>3975</v>
      </c>
      <c r="D1564" s="143">
        <v>1982</v>
      </c>
      <c r="E1564" s="144" t="s">
        <v>20</v>
      </c>
      <c r="F1564" s="143"/>
      <c r="G1564" s="143" t="s">
        <v>4001</v>
      </c>
      <c r="H1564" s="142" t="s">
        <v>464</v>
      </c>
      <c r="I1564" s="143" t="s">
        <v>3683</v>
      </c>
      <c r="J1564" s="142" t="s">
        <v>4002</v>
      </c>
      <c r="K1564" s="142"/>
      <c r="L1564" s="142"/>
      <c r="M1564" s="142"/>
      <c r="N1564" s="12"/>
      <c r="O1564" s="12" t="e">
        <v>#VALUE!</v>
      </c>
      <c r="P1564" s="13" t="str">
        <f t="shared" si="25"/>
        <v/>
      </c>
      <c r="Q1564" s="158"/>
      <c r="R1564" s="142" t="s">
        <v>3422</v>
      </c>
    </row>
    <row r="1565" spans="1:18" s="6" customFormat="1" ht="42.75" customHeight="1" x14ac:dyDescent="0.15">
      <c r="A1565" s="145" t="s">
        <v>2375</v>
      </c>
      <c r="B1565" s="88">
        <v>20</v>
      </c>
      <c r="C1565" s="163" t="s">
        <v>3975</v>
      </c>
      <c r="D1565" s="163">
        <v>1982</v>
      </c>
      <c r="E1565" s="147" t="s">
        <v>34</v>
      </c>
      <c r="F1565" s="163"/>
      <c r="G1565" s="349" t="s">
        <v>4003</v>
      </c>
      <c r="H1565" s="88" t="s">
        <v>199</v>
      </c>
      <c r="I1565" s="163" t="s">
        <v>4004</v>
      </c>
      <c r="J1565" s="88" t="s">
        <v>4005</v>
      </c>
      <c r="K1565" s="88"/>
      <c r="L1565" s="241"/>
      <c r="M1565" s="241" t="str">
        <f>HYPERLINK("http://kameyamarekihaku.jp/sisi/MinzokuHP/jirei/bunrui5/data5-1/gi.htm?pf=DSC07531-1.jpg&amp;pn=%E6%9D%B1%E3%81%AE%E8%BF%BD%E5%88%86","東の追分")</f>
        <v>東の追分</v>
      </c>
      <c r="N1565" s="32" t="s">
        <v>4006</v>
      </c>
      <c r="O1565" s="32" t="s">
        <v>4007</v>
      </c>
      <c r="P1565" s="33" t="str">
        <f t="shared" si="25"/>
        <v>亀山のいいとこさがし／景色のよいところや歴史を知る手掛かりとなるもの／関宿のまちなみ／新所のまちなみ／東追分</v>
      </c>
      <c r="Q1565" s="337" t="str">
        <f>HYPERLINK("http:/kameyamarekihaku.jp/sisi/tuusiHP_next/tuusi-index.html#kingendai0904","市史通史編 近代・現代第9章第4節")</f>
        <v>市史通史編 近代・現代第9章第4節</v>
      </c>
      <c r="R1565" s="145" t="s">
        <v>2371</v>
      </c>
    </row>
    <row r="1566" spans="1:18" s="6" customFormat="1" ht="46.5" customHeight="1" x14ac:dyDescent="0.15">
      <c r="A1566" s="151"/>
      <c r="B1566" s="91"/>
      <c r="C1566" s="169"/>
      <c r="D1566" s="169"/>
      <c r="E1566" s="153"/>
      <c r="F1566" s="169"/>
      <c r="G1566" s="374"/>
      <c r="H1566" s="91"/>
      <c r="I1566" s="169"/>
      <c r="J1566" s="242"/>
      <c r="K1566" s="91"/>
      <c r="L1566" s="242"/>
      <c r="M1566" s="242" t="str">
        <f>HYPERLINK("http://kameyamarekihaku.jp/sisi/MinzokuHP/jirei/bunrui5/data5-1/gi.htm?pf=sinzyo-4-3.jpg&amp;pn=%E8%A5%BF%E3%81%AE%E8%BF%BD%E5%88%86%E3%81%AE%E8%B0%B7%E5%8F%A3%E6%B3%95%E6%82%A6%E9%A1%8C%E7%9B%AE%E5%A1%94%EF%BC%88%E9%96%A2%E7%94%BA%E6%96%B0%E6%89%80%EF%BC%89","西の追分の谷口法悦題目塔（関町新所）")</f>
        <v>西の追分の谷口法悦題目塔（関町新所）</v>
      </c>
      <c r="N1566" s="29" t="s">
        <v>4008</v>
      </c>
      <c r="O1566" s="29" t="s">
        <v>4009</v>
      </c>
      <c r="P1566" s="30" t="str">
        <f t="shared" si="25"/>
        <v>亀山のいいとこさがし／景色のよいところや歴史を知る手掛かりとなるもの／関宿のまちなみ／木崎のまちなみ／西追分</v>
      </c>
      <c r="Q1566" s="339"/>
      <c r="R1566" s="151"/>
    </row>
    <row r="1567" spans="1:18" s="6" customFormat="1" ht="15" customHeight="1" x14ac:dyDescent="0.15">
      <c r="A1567" s="142" t="s">
        <v>2375</v>
      </c>
      <c r="B1567" s="120">
        <v>20</v>
      </c>
      <c r="C1567" s="175" t="s">
        <v>3975</v>
      </c>
      <c r="D1567" s="175">
        <v>1982</v>
      </c>
      <c r="E1567" s="144" t="s">
        <v>20</v>
      </c>
      <c r="F1567" s="175"/>
      <c r="G1567" s="175" t="s">
        <v>4010</v>
      </c>
      <c r="H1567" s="120" t="s">
        <v>199</v>
      </c>
      <c r="I1567" s="175" t="s">
        <v>3618</v>
      </c>
      <c r="J1567" s="120" t="s">
        <v>4011</v>
      </c>
      <c r="K1567" s="120"/>
      <c r="L1567" s="120"/>
      <c r="M1567" s="120"/>
      <c r="N1567" s="12"/>
      <c r="O1567" s="12" t="e">
        <v>#VALUE!</v>
      </c>
      <c r="P1567" s="13" t="str">
        <f t="shared" si="25"/>
        <v/>
      </c>
      <c r="Q1567" s="192"/>
      <c r="R1567" s="142" t="s">
        <v>2371</v>
      </c>
    </row>
    <row r="1568" spans="1:18" s="6" customFormat="1" ht="28.5" customHeight="1" x14ac:dyDescent="0.15">
      <c r="A1568" s="142" t="s">
        <v>2375</v>
      </c>
      <c r="B1568" s="120">
        <v>20</v>
      </c>
      <c r="C1568" s="175" t="s">
        <v>3975</v>
      </c>
      <c r="D1568" s="175">
        <v>1982</v>
      </c>
      <c r="E1568" s="144" t="s">
        <v>20</v>
      </c>
      <c r="F1568" s="175"/>
      <c r="G1568" s="175" t="s">
        <v>4012</v>
      </c>
      <c r="H1568" s="120" t="s">
        <v>199</v>
      </c>
      <c r="I1568" s="175" t="s">
        <v>4013</v>
      </c>
      <c r="J1568" s="120" t="s">
        <v>4014</v>
      </c>
      <c r="K1568" s="120"/>
      <c r="L1568" s="120"/>
      <c r="M1568" s="120"/>
      <c r="N1568" s="12"/>
      <c r="O1568" s="12" t="e">
        <v>#VALUE!</v>
      </c>
      <c r="P1568" s="13" t="str">
        <f t="shared" si="25"/>
        <v/>
      </c>
      <c r="Q1568" s="192"/>
      <c r="R1568" s="142" t="s">
        <v>2462</v>
      </c>
    </row>
    <row r="1569" spans="1:18" s="6" customFormat="1" ht="43.5" customHeight="1" x14ac:dyDescent="0.15">
      <c r="A1569" s="142" t="s">
        <v>2375</v>
      </c>
      <c r="B1569" s="120">
        <v>20</v>
      </c>
      <c r="C1569" s="175" t="s">
        <v>3975</v>
      </c>
      <c r="D1569" s="175">
        <v>1982</v>
      </c>
      <c r="E1569" s="144" t="s">
        <v>20</v>
      </c>
      <c r="F1569" s="175"/>
      <c r="G1569" s="175" t="s">
        <v>4015</v>
      </c>
      <c r="H1569" s="120" t="s">
        <v>199</v>
      </c>
      <c r="I1569" s="175"/>
      <c r="J1569" s="120"/>
      <c r="K1569" s="120"/>
      <c r="L1569" s="120"/>
      <c r="M1569" s="120"/>
      <c r="N1569" s="12"/>
      <c r="O1569" s="12" t="e">
        <v>#VALUE!</v>
      </c>
      <c r="P1569" s="13" t="str">
        <f t="shared" si="25"/>
        <v/>
      </c>
      <c r="Q1569" s="192"/>
      <c r="R1569" s="142" t="s">
        <v>2462</v>
      </c>
    </row>
    <row r="1570" spans="1:18" s="139" customFormat="1" ht="32.25" customHeight="1" x14ac:dyDescent="0.15">
      <c r="A1570" s="142" t="s">
        <v>2375</v>
      </c>
      <c r="B1570" s="142">
        <v>20</v>
      </c>
      <c r="C1570" s="143" t="s">
        <v>4016</v>
      </c>
      <c r="D1570" s="143">
        <v>1983</v>
      </c>
      <c r="E1570" s="144" t="s">
        <v>20</v>
      </c>
      <c r="F1570" s="143"/>
      <c r="G1570" s="143" t="s">
        <v>4017</v>
      </c>
      <c r="H1570" s="142" t="s">
        <v>464</v>
      </c>
      <c r="I1570" s="143" t="s">
        <v>3121</v>
      </c>
      <c r="J1570" s="142"/>
      <c r="K1570" s="142"/>
      <c r="L1570" s="142"/>
      <c r="M1570" s="142"/>
      <c r="N1570" s="12"/>
      <c r="O1570" s="12" t="e">
        <v>#VALUE!</v>
      </c>
      <c r="P1570" s="13" t="str">
        <f t="shared" si="25"/>
        <v/>
      </c>
      <c r="Q1570" s="158"/>
      <c r="R1570" s="142" t="s">
        <v>3422</v>
      </c>
    </row>
    <row r="1571" spans="1:18" s="139" customFormat="1" ht="27" x14ac:dyDescent="0.15">
      <c r="A1571" s="142" t="s">
        <v>2375</v>
      </c>
      <c r="B1571" s="142">
        <v>20</v>
      </c>
      <c r="C1571" s="143" t="s">
        <v>4016</v>
      </c>
      <c r="D1571" s="143">
        <v>1983</v>
      </c>
      <c r="E1571" s="144" t="s">
        <v>20</v>
      </c>
      <c r="F1571" s="143"/>
      <c r="G1571" s="143" t="s">
        <v>4018</v>
      </c>
      <c r="H1571" s="142" t="s">
        <v>2656</v>
      </c>
      <c r="I1571" s="143" t="s">
        <v>2544</v>
      </c>
      <c r="J1571" s="142" t="s">
        <v>4019</v>
      </c>
      <c r="K1571" s="142"/>
      <c r="L1571" s="142"/>
      <c r="M1571" s="142"/>
      <c r="N1571" s="12"/>
      <c r="O1571" s="12" t="e">
        <v>#VALUE!</v>
      </c>
      <c r="P1571" s="13" t="str">
        <f t="shared" si="25"/>
        <v/>
      </c>
      <c r="Q1571" s="158"/>
      <c r="R1571" s="142" t="s">
        <v>3422</v>
      </c>
    </row>
    <row r="1572" spans="1:18" s="139" customFormat="1" ht="28.5" customHeight="1" x14ac:dyDescent="0.15">
      <c r="A1572" s="142" t="s">
        <v>2375</v>
      </c>
      <c r="B1572" s="142">
        <v>20</v>
      </c>
      <c r="C1572" s="143" t="s">
        <v>4016</v>
      </c>
      <c r="D1572" s="143">
        <v>1983</v>
      </c>
      <c r="E1572" s="144" t="s">
        <v>20</v>
      </c>
      <c r="F1572" s="143"/>
      <c r="G1572" s="143" t="s">
        <v>4020</v>
      </c>
      <c r="H1572" s="142" t="s">
        <v>2656</v>
      </c>
      <c r="I1572" s="143" t="s">
        <v>2544</v>
      </c>
      <c r="J1572" s="142" t="s">
        <v>4021</v>
      </c>
      <c r="K1572" s="142"/>
      <c r="L1572" s="142"/>
      <c r="M1572" s="142"/>
      <c r="N1572" s="12"/>
      <c r="O1572" s="12" t="e">
        <v>#VALUE!</v>
      </c>
      <c r="P1572" s="13" t="str">
        <f t="shared" si="25"/>
        <v/>
      </c>
      <c r="Q1572" s="158"/>
      <c r="R1572" s="142" t="s">
        <v>3422</v>
      </c>
    </row>
    <row r="1573" spans="1:18" s="139" customFormat="1" ht="15" customHeight="1" x14ac:dyDescent="0.15">
      <c r="A1573" s="142" t="s">
        <v>2375</v>
      </c>
      <c r="B1573" s="142">
        <v>20</v>
      </c>
      <c r="C1573" s="143" t="s">
        <v>4016</v>
      </c>
      <c r="D1573" s="143">
        <v>1983</v>
      </c>
      <c r="E1573" s="144" t="s">
        <v>20</v>
      </c>
      <c r="F1573" s="143"/>
      <c r="G1573" s="143" t="s">
        <v>4022</v>
      </c>
      <c r="H1573" s="142" t="s">
        <v>464</v>
      </c>
      <c r="I1573" s="175" t="s">
        <v>394</v>
      </c>
      <c r="J1573" s="142" t="s">
        <v>3876</v>
      </c>
      <c r="K1573" s="142"/>
      <c r="L1573" s="142"/>
      <c r="M1573" s="142"/>
      <c r="N1573" s="12"/>
      <c r="O1573" s="12" t="e">
        <v>#VALUE!</v>
      </c>
      <c r="P1573" s="13" t="str">
        <f t="shared" si="25"/>
        <v/>
      </c>
      <c r="Q1573" s="158"/>
      <c r="R1573" s="142" t="s">
        <v>3422</v>
      </c>
    </row>
    <row r="1574" spans="1:18" s="139" customFormat="1" ht="28.5" customHeight="1" x14ac:dyDescent="0.15">
      <c r="A1574" s="142" t="s">
        <v>2375</v>
      </c>
      <c r="B1574" s="142">
        <v>20</v>
      </c>
      <c r="C1574" s="143" t="s">
        <v>4016</v>
      </c>
      <c r="D1574" s="143">
        <v>1983</v>
      </c>
      <c r="E1574" s="144" t="s">
        <v>20</v>
      </c>
      <c r="F1574" s="143"/>
      <c r="G1574" s="143" t="s">
        <v>4023</v>
      </c>
      <c r="H1574" s="142" t="s">
        <v>464</v>
      </c>
      <c r="I1574" s="143" t="s">
        <v>3872</v>
      </c>
      <c r="J1574" s="142" t="s">
        <v>4024</v>
      </c>
      <c r="K1574" s="142"/>
      <c r="L1574" s="142"/>
      <c r="M1574" s="142"/>
      <c r="N1574" s="12"/>
      <c r="O1574" s="12" t="e">
        <v>#VALUE!</v>
      </c>
      <c r="P1574" s="13" t="str">
        <f t="shared" si="25"/>
        <v/>
      </c>
      <c r="Q1574" s="158"/>
      <c r="R1574" s="142" t="s">
        <v>3422</v>
      </c>
    </row>
    <row r="1575" spans="1:18" s="139" customFormat="1" ht="43.5" customHeight="1" x14ac:dyDescent="0.15">
      <c r="A1575" s="142" t="s">
        <v>2375</v>
      </c>
      <c r="B1575" s="142">
        <v>20</v>
      </c>
      <c r="C1575" s="143" t="s">
        <v>4016</v>
      </c>
      <c r="D1575" s="143">
        <v>1983</v>
      </c>
      <c r="E1575" s="144" t="s">
        <v>20</v>
      </c>
      <c r="F1575" s="143"/>
      <c r="G1575" s="143" t="s">
        <v>4025</v>
      </c>
      <c r="H1575" s="142" t="s">
        <v>3321</v>
      </c>
      <c r="I1575" s="143" t="s">
        <v>3322</v>
      </c>
      <c r="J1575" s="142" t="s">
        <v>4026</v>
      </c>
      <c r="K1575" s="142"/>
      <c r="L1575" s="142"/>
      <c r="M1575" s="142"/>
      <c r="N1575" s="12"/>
      <c r="O1575" s="12" t="e">
        <v>#VALUE!</v>
      </c>
      <c r="P1575" s="13" t="str">
        <f t="shared" si="25"/>
        <v/>
      </c>
      <c r="Q1575" s="158"/>
      <c r="R1575" s="142" t="s">
        <v>4027</v>
      </c>
    </row>
    <row r="1576" spans="1:18" s="139" customFormat="1" ht="43.5" customHeight="1" x14ac:dyDescent="0.15">
      <c r="A1576" s="142" t="s">
        <v>2375</v>
      </c>
      <c r="B1576" s="142">
        <v>20</v>
      </c>
      <c r="C1576" s="143" t="s">
        <v>4016</v>
      </c>
      <c r="D1576" s="143">
        <v>1983</v>
      </c>
      <c r="E1576" s="144" t="s">
        <v>34</v>
      </c>
      <c r="F1576" s="143"/>
      <c r="G1576" s="161" t="s">
        <v>4028</v>
      </c>
      <c r="H1576" s="142"/>
      <c r="I1576" s="143"/>
      <c r="J1576" s="142"/>
      <c r="K1576" s="142"/>
      <c r="L1576" s="142" t="s">
        <v>4029</v>
      </c>
      <c r="M1576" s="142"/>
      <c r="N1576" s="12"/>
      <c r="O1576" s="12" t="e">
        <v>#VALUE!</v>
      </c>
      <c r="P1576" s="13" t="str">
        <f t="shared" si="25"/>
        <v/>
      </c>
      <c r="Q1576" s="158"/>
      <c r="R1576" s="142" t="s">
        <v>3422</v>
      </c>
    </row>
    <row r="1577" spans="1:18" s="139" customFormat="1" ht="30.75" customHeight="1" x14ac:dyDescent="0.15">
      <c r="A1577" s="145" t="s">
        <v>2375</v>
      </c>
      <c r="B1577" s="145">
        <v>20</v>
      </c>
      <c r="C1577" s="146" t="s">
        <v>4016</v>
      </c>
      <c r="D1577" s="146">
        <v>1983</v>
      </c>
      <c r="E1577" s="147" t="s">
        <v>34</v>
      </c>
      <c r="F1577" s="146"/>
      <c r="G1577" s="345" t="s">
        <v>4030</v>
      </c>
      <c r="H1577" s="145" t="s">
        <v>3182</v>
      </c>
      <c r="I1577" s="146" t="s">
        <v>4031</v>
      </c>
      <c r="J1577" s="145" t="s">
        <v>4032</v>
      </c>
      <c r="K1577" s="145"/>
      <c r="L1577" s="145"/>
      <c r="M1577" s="145"/>
      <c r="N1577" s="32" t="s">
        <v>4033</v>
      </c>
      <c r="O1577" s="32" t="s">
        <v>4034</v>
      </c>
      <c r="P1577" s="33" t="str">
        <f t="shared" si="25"/>
        <v>むかしから伝わる祭りや行事／かんこおどり（たいこおどり）</v>
      </c>
      <c r="Q1577" s="17" t="str">
        <f>HYPERLINK("http://kameyamarekihaku.jp/sisi/MinzokuHP/jirei/bunrui10/data10-3/index10_3.htm","亀山市史民俗編「祭礼・芸能」（三）かんこ踊り")</f>
        <v>亀山市史民俗編「祭礼・芸能」（三）かんこ踊り</v>
      </c>
      <c r="R1577" s="145" t="s">
        <v>3422</v>
      </c>
    </row>
    <row r="1578" spans="1:18" s="139" customFormat="1" ht="43.5" customHeight="1" x14ac:dyDescent="0.15">
      <c r="A1578" s="136"/>
      <c r="B1578" s="136"/>
      <c r="C1578" s="137"/>
      <c r="D1578" s="137"/>
      <c r="E1578" s="138"/>
      <c r="F1578" s="137"/>
      <c r="G1578" s="346"/>
      <c r="H1578" s="136"/>
      <c r="I1578" s="137"/>
      <c r="J1578" s="136"/>
      <c r="K1578" s="136"/>
      <c r="L1578" s="136"/>
      <c r="M1578" s="136"/>
      <c r="N1578" s="19" t="s">
        <v>4035</v>
      </c>
      <c r="O1578" s="19" t="s">
        <v>3971</v>
      </c>
      <c r="P1578" s="20" t="str">
        <f t="shared" si="25"/>
        <v>亀山のいいとこさがし／人々がつたえてきたこと／踊りや唄／鈴鹿川・中の川流域のかんこ踊り</v>
      </c>
      <c r="Q1578" s="21"/>
      <c r="R1578" s="136"/>
    </row>
    <row r="1579" spans="1:18" s="139" customFormat="1" ht="30.75" customHeight="1" x14ac:dyDescent="0.15">
      <c r="A1579" s="136"/>
      <c r="B1579" s="136"/>
      <c r="C1579" s="137"/>
      <c r="D1579" s="137"/>
      <c r="E1579" s="138"/>
      <c r="F1579" s="137"/>
      <c r="G1579" s="141"/>
      <c r="H1579" s="136"/>
      <c r="I1579" s="137"/>
      <c r="J1579" s="136"/>
      <c r="K1579" s="136"/>
      <c r="L1579" s="136"/>
      <c r="M1579" s="136"/>
      <c r="N1579" s="19" t="s">
        <v>2570</v>
      </c>
      <c r="O1579" s="19" t="s">
        <v>2571</v>
      </c>
      <c r="P1579" s="20" t="str">
        <f t="shared" si="25"/>
        <v>亀山のいいとこさがし／動物や植物／植物</v>
      </c>
      <c r="Q1579" s="21"/>
      <c r="R1579" s="136"/>
    </row>
    <row r="1580" spans="1:18" s="139" customFormat="1" ht="75.75" customHeight="1" x14ac:dyDescent="0.15">
      <c r="A1580" s="142" t="s">
        <v>2375</v>
      </c>
      <c r="B1580" s="142">
        <v>20</v>
      </c>
      <c r="C1580" s="143" t="s">
        <v>4016</v>
      </c>
      <c r="D1580" s="143">
        <v>1983</v>
      </c>
      <c r="E1580" s="144" t="s">
        <v>34</v>
      </c>
      <c r="F1580" s="143"/>
      <c r="G1580" s="143" t="s">
        <v>4036</v>
      </c>
      <c r="H1580" s="142"/>
      <c r="I1580" s="143"/>
      <c r="J1580" s="142"/>
      <c r="K1580" s="142" t="s">
        <v>4037</v>
      </c>
      <c r="L1580" s="142"/>
      <c r="M1580" s="142"/>
      <c r="N1580" s="23" t="s">
        <v>2598</v>
      </c>
      <c r="O1580" s="23" t="s">
        <v>2599</v>
      </c>
      <c r="P1580" s="24" t="str">
        <f t="shared" si="25"/>
        <v>亀山市の名誉市民／旧亀山市の名誉市民</v>
      </c>
      <c r="Q1580" s="25" t="str">
        <f>HYPERLINK("http://kameyamarekihaku.jp/23kikaku/info.html","企画展「－世界に冠たる亀山人－映画監督衣笠貞之助と言語学者服部四郎」")</f>
        <v>企画展「－世界に冠たる亀山人－映画監督衣笠貞之助と言語学者服部四郎」</v>
      </c>
      <c r="R1580" s="142" t="s">
        <v>4038</v>
      </c>
    </row>
    <row r="1581" spans="1:18" s="139" customFormat="1" ht="28.5" customHeight="1" x14ac:dyDescent="0.15">
      <c r="A1581" s="142" t="s">
        <v>2375</v>
      </c>
      <c r="B1581" s="142">
        <v>20</v>
      </c>
      <c r="C1581" s="143" t="s">
        <v>4016</v>
      </c>
      <c r="D1581" s="143">
        <v>1983</v>
      </c>
      <c r="E1581" s="144" t="s">
        <v>20</v>
      </c>
      <c r="F1581" s="143"/>
      <c r="G1581" s="143" t="s">
        <v>4039</v>
      </c>
      <c r="H1581" s="142"/>
      <c r="I1581" s="143"/>
      <c r="J1581" s="142" t="s">
        <v>4040</v>
      </c>
      <c r="K1581" s="142"/>
      <c r="L1581" s="142"/>
      <c r="M1581" s="142"/>
      <c r="N1581" s="12"/>
      <c r="O1581" s="12" t="e">
        <v>#VALUE!</v>
      </c>
      <c r="P1581" s="13" t="str">
        <f t="shared" si="25"/>
        <v/>
      </c>
      <c r="Q1581" s="158"/>
      <c r="R1581" s="142" t="s">
        <v>2936</v>
      </c>
    </row>
    <row r="1582" spans="1:18" s="139" customFormat="1" ht="15" customHeight="1" x14ac:dyDescent="0.15">
      <c r="A1582" s="142" t="s">
        <v>2375</v>
      </c>
      <c r="B1582" s="142">
        <v>20</v>
      </c>
      <c r="C1582" s="143" t="s">
        <v>4016</v>
      </c>
      <c r="D1582" s="143">
        <v>1983</v>
      </c>
      <c r="E1582" s="144" t="s">
        <v>20</v>
      </c>
      <c r="F1582" s="143"/>
      <c r="G1582" s="143" t="s">
        <v>4041</v>
      </c>
      <c r="H1582" s="142" t="s">
        <v>3537</v>
      </c>
      <c r="I1582" s="143" t="s">
        <v>3659</v>
      </c>
      <c r="J1582" s="142" t="s">
        <v>4042</v>
      </c>
      <c r="K1582" s="142"/>
      <c r="L1582" s="142"/>
      <c r="M1582" s="142"/>
      <c r="N1582" s="12"/>
      <c r="O1582" s="12" t="e">
        <v>#VALUE!</v>
      </c>
      <c r="P1582" s="13" t="str">
        <f t="shared" si="25"/>
        <v/>
      </c>
      <c r="Q1582" s="158"/>
      <c r="R1582" s="142" t="s">
        <v>2936</v>
      </c>
    </row>
    <row r="1583" spans="1:18" s="139" customFormat="1" ht="15" customHeight="1" x14ac:dyDescent="0.15">
      <c r="A1583" s="142" t="s">
        <v>2375</v>
      </c>
      <c r="B1583" s="142">
        <v>20</v>
      </c>
      <c r="C1583" s="143" t="s">
        <v>4016</v>
      </c>
      <c r="D1583" s="143">
        <v>1983</v>
      </c>
      <c r="E1583" s="144" t="s">
        <v>20</v>
      </c>
      <c r="F1583" s="143"/>
      <c r="G1583" s="143" t="s">
        <v>4043</v>
      </c>
      <c r="H1583" s="142" t="s">
        <v>156</v>
      </c>
      <c r="I1583" s="143" t="s">
        <v>3640</v>
      </c>
      <c r="J1583" s="142" t="s">
        <v>4044</v>
      </c>
      <c r="K1583" s="142"/>
      <c r="L1583" s="142"/>
      <c r="M1583" s="142"/>
      <c r="N1583" s="12"/>
      <c r="O1583" s="12" t="e">
        <v>#VALUE!</v>
      </c>
      <c r="P1583" s="13" t="str">
        <f t="shared" si="25"/>
        <v/>
      </c>
      <c r="Q1583" s="158"/>
      <c r="R1583" s="142" t="s">
        <v>4045</v>
      </c>
    </row>
    <row r="1584" spans="1:18" s="139" customFormat="1" ht="29.1" customHeight="1" x14ac:dyDescent="0.15">
      <c r="A1584" s="142" t="s">
        <v>2375</v>
      </c>
      <c r="B1584" s="142">
        <v>20</v>
      </c>
      <c r="C1584" s="143" t="s">
        <v>4016</v>
      </c>
      <c r="D1584" s="143">
        <v>1983</v>
      </c>
      <c r="E1584" s="144" t="s">
        <v>20</v>
      </c>
      <c r="F1584" s="143"/>
      <c r="G1584" s="143" t="s">
        <v>4046</v>
      </c>
      <c r="H1584" s="142" t="s">
        <v>199</v>
      </c>
      <c r="I1584" s="175" t="s">
        <v>2475</v>
      </c>
      <c r="J1584" s="142" t="s">
        <v>4047</v>
      </c>
      <c r="K1584" s="142"/>
      <c r="L1584" s="142"/>
      <c r="M1584" s="142"/>
      <c r="N1584" s="12"/>
      <c r="O1584" s="12" t="e">
        <v>#VALUE!</v>
      </c>
      <c r="P1584" s="13" t="str">
        <f t="shared" si="25"/>
        <v/>
      </c>
      <c r="Q1584" s="158"/>
      <c r="R1584" s="142" t="s">
        <v>2462</v>
      </c>
    </row>
    <row r="1585" spans="1:18" s="139" customFormat="1" ht="28.5" customHeight="1" x14ac:dyDescent="0.15">
      <c r="A1585" s="142" t="s">
        <v>2375</v>
      </c>
      <c r="B1585" s="142">
        <v>20</v>
      </c>
      <c r="C1585" s="143" t="s">
        <v>4016</v>
      </c>
      <c r="D1585" s="143">
        <v>1983</v>
      </c>
      <c r="E1585" s="144" t="s">
        <v>20</v>
      </c>
      <c r="F1585" s="143"/>
      <c r="G1585" s="143" t="s">
        <v>4048</v>
      </c>
      <c r="H1585" s="142" t="s">
        <v>3107</v>
      </c>
      <c r="I1585" s="143" t="s">
        <v>4049</v>
      </c>
      <c r="J1585" s="142" t="s">
        <v>4050</v>
      </c>
      <c r="K1585" s="142"/>
      <c r="L1585" s="142"/>
      <c r="M1585" s="142"/>
      <c r="N1585" s="12"/>
      <c r="O1585" s="12" t="e">
        <v>#VALUE!</v>
      </c>
      <c r="P1585" s="13" t="str">
        <f t="shared" si="25"/>
        <v/>
      </c>
      <c r="Q1585" s="158"/>
      <c r="R1585" s="142" t="s">
        <v>2462</v>
      </c>
    </row>
    <row r="1586" spans="1:18" s="139" customFormat="1" ht="32.25" customHeight="1" x14ac:dyDescent="0.15">
      <c r="A1586" s="142" t="s">
        <v>2375</v>
      </c>
      <c r="B1586" s="142">
        <v>20</v>
      </c>
      <c r="C1586" s="143" t="s">
        <v>4016</v>
      </c>
      <c r="D1586" s="143">
        <v>1983</v>
      </c>
      <c r="E1586" s="144" t="s">
        <v>20</v>
      </c>
      <c r="F1586" s="143"/>
      <c r="G1586" s="143" t="s">
        <v>4051</v>
      </c>
      <c r="H1586" s="142" t="s">
        <v>199</v>
      </c>
      <c r="I1586" s="143" t="s">
        <v>2367</v>
      </c>
      <c r="J1586" s="142" t="s">
        <v>4052</v>
      </c>
      <c r="K1586" s="142"/>
      <c r="L1586" s="142"/>
      <c r="M1586" s="142" t="s">
        <v>4053</v>
      </c>
      <c r="N1586" s="12"/>
      <c r="O1586" s="12" t="e">
        <v>#VALUE!</v>
      </c>
      <c r="P1586" s="13" t="str">
        <f t="shared" si="25"/>
        <v/>
      </c>
      <c r="Q1586" s="158"/>
      <c r="R1586" s="142" t="s">
        <v>2462</v>
      </c>
    </row>
    <row r="1587" spans="1:18" s="139" customFormat="1" ht="28.5" customHeight="1" x14ac:dyDescent="0.15">
      <c r="A1587" s="142" t="s">
        <v>2375</v>
      </c>
      <c r="B1587" s="142">
        <v>20</v>
      </c>
      <c r="C1587" s="143" t="s">
        <v>4054</v>
      </c>
      <c r="D1587" s="143">
        <v>1984</v>
      </c>
      <c r="E1587" s="144" t="s">
        <v>20</v>
      </c>
      <c r="F1587" s="143"/>
      <c r="G1587" s="143" t="s">
        <v>4055</v>
      </c>
      <c r="H1587" s="142" t="s">
        <v>2160</v>
      </c>
      <c r="I1587" s="143" t="s">
        <v>4056</v>
      </c>
      <c r="J1587" s="142"/>
      <c r="K1587" s="142"/>
      <c r="L1587" s="142"/>
      <c r="M1587" s="142"/>
      <c r="N1587" s="12"/>
      <c r="O1587" s="12" t="e">
        <v>#VALUE!</v>
      </c>
      <c r="P1587" s="13" t="str">
        <f t="shared" si="25"/>
        <v/>
      </c>
      <c r="Q1587" s="158"/>
      <c r="R1587" s="142" t="s">
        <v>3422</v>
      </c>
    </row>
    <row r="1588" spans="1:18" s="139" customFormat="1" ht="78.599999999999994" customHeight="1" x14ac:dyDescent="0.15">
      <c r="A1588" s="142" t="s">
        <v>2375</v>
      </c>
      <c r="B1588" s="142">
        <v>20</v>
      </c>
      <c r="C1588" s="143" t="s">
        <v>4054</v>
      </c>
      <c r="D1588" s="143">
        <v>1984</v>
      </c>
      <c r="E1588" s="144" t="s">
        <v>20</v>
      </c>
      <c r="F1588" s="143"/>
      <c r="G1588" s="143" t="s">
        <v>4057</v>
      </c>
      <c r="H1588" s="142" t="s">
        <v>250</v>
      </c>
      <c r="I1588" s="143" t="s">
        <v>4058</v>
      </c>
      <c r="J1588" s="142" t="s">
        <v>4059</v>
      </c>
      <c r="K1588" s="142"/>
      <c r="L1588" s="142"/>
      <c r="M1588" s="142"/>
      <c r="N1588" s="12" t="s">
        <v>3044</v>
      </c>
      <c r="O1588" s="12" t="s">
        <v>3045</v>
      </c>
      <c r="P1588" s="13" t="str">
        <f t="shared" si="25"/>
        <v>日本の歴史の中の亀山／現代の亀山／行政と政治／と畜場</v>
      </c>
      <c r="Q1588" s="158"/>
      <c r="R1588" s="142" t="s">
        <v>4060</v>
      </c>
    </row>
    <row r="1589" spans="1:18" s="139" customFormat="1" ht="15" customHeight="1" x14ac:dyDescent="0.15">
      <c r="A1589" s="142" t="s">
        <v>2375</v>
      </c>
      <c r="B1589" s="142">
        <v>20</v>
      </c>
      <c r="C1589" s="143" t="s">
        <v>4054</v>
      </c>
      <c r="D1589" s="143">
        <v>1984</v>
      </c>
      <c r="E1589" s="144" t="s">
        <v>20</v>
      </c>
      <c r="F1589" s="143"/>
      <c r="G1589" s="143" t="s">
        <v>4061</v>
      </c>
      <c r="H1589" s="142" t="s">
        <v>464</v>
      </c>
      <c r="I1589" s="143" t="s">
        <v>3121</v>
      </c>
      <c r="J1589" s="142" t="s">
        <v>4062</v>
      </c>
      <c r="K1589" s="142"/>
      <c r="L1589" s="142"/>
      <c r="M1589" s="142"/>
      <c r="N1589" s="12"/>
      <c r="O1589" s="12" t="e">
        <v>#VALUE!</v>
      </c>
      <c r="P1589" s="13" t="str">
        <f t="shared" si="25"/>
        <v/>
      </c>
      <c r="Q1589" s="158"/>
      <c r="R1589" s="142" t="s">
        <v>4063</v>
      </c>
    </row>
    <row r="1590" spans="1:18" s="139" customFormat="1" ht="43.5" customHeight="1" x14ac:dyDescent="0.15">
      <c r="A1590" s="142" t="s">
        <v>2375</v>
      </c>
      <c r="B1590" s="142">
        <v>20</v>
      </c>
      <c r="C1590" s="143" t="s">
        <v>4054</v>
      </c>
      <c r="D1590" s="143">
        <v>1984</v>
      </c>
      <c r="E1590" s="144" t="s">
        <v>20</v>
      </c>
      <c r="F1590" s="143"/>
      <c r="G1590" s="143" t="s">
        <v>4064</v>
      </c>
      <c r="H1590" s="142"/>
      <c r="I1590" s="143"/>
      <c r="J1590" s="142"/>
      <c r="K1590" s="142"/>
      <c r="L1590" s="142"/>
      <c r="M1590" s="142"/>
      <c r="N1590" s="12"/>
      <c r="O1590" s="12" t="e">
        <v>#VALUE!</v>
      </c>
      <c r="P1590" s="13" t="str">
        <f t="shared" si="25"/>
        <v/>
      </c>
      <c r="Q1590" s="158"/>
      <c r="R1590" s="142" t="s">
        <v>3422</v>
      </c>
    </row>
    <row r="1591" spans="1:18" s="139" customFormat="1" ht="28.5" customHeight="1" x14ac:dyDescent="0.15">
      <c r="A1591" s="142" t="s">
        <v>2375</v>
      </c>
      <c r="B1591" s="142">
        <v>20</v>
      </c>
      <c r="C1591" s="143" t="s">
        <v>4054</v>
      </c>
      <c r="D1591" s="143">
        <v>1984</v>
      </c>
      <c r="E1591" s="144" t="s">
        <v>20</v>
      </c>
      <c r="F1591" s="143"/>
      <c r="G1591" s="143" t="s">
        <v>4065</v>
      </c>
      <c r="H1591" s="142"/>
      <c r="I1591" s="143"/>
      <c r="J1591" s="142"/>
      <c r="K1591" s="142"/>
      <c r="L1591" s="142"/>
      <c r="M1591" s="142"/>
      <c r="N1591" s="12"/>
      <c r="O1591" s="12" t="e">
        <v>#VALUE!</v>
      </c>
      <c r="P1591" s="13" t="str">
        <f t="shared" si="25"/>
        <v/>
      </c>
      <c r="Q1591" s="158"/>
      <c r="R1591" s="142" t="s">
        <v>3422</v>
      </c>
    </row>
    <row r="1592" spans="1:18" s="139" customFormat="1" ht="15" customHeight="1" x14ac:dyDescent="0.15">
      <c r="A1592" s="142" t="s">
        <v>2375</v>
      </c>
      <c r="B1592" s="142">
        <v>20</v>
      </c>
      <c r="C1592" s="143" t="s">
        <v>4054</v>
      </c>
      <c r="D1592" s="143">
        <v>1984</v>
      </c>
      <c r="E1592" s="144" t="s">
        <v>20</v>
      </c>
      <c r="F1592" s="143"/>
      <c r="G1592" s="143" t="s">
        <v>4066</v>
      </c>
      <c r="H1592" s="142" t="s">
        <v>464</v>
      </c>
      <c r="I1592" s="143" t="s">
        <v>3121</v>
      </c>
      <c r="J1592" s="142" t="s">
        <v>4062</v>
      </c>
      <c r="K1592" s="142"/>
      <c r="L1592" s="142"/>
      <c r="M1592" s="142"/>
      <c r="N1592" s="12"/>
      <c r="O1592" s="12" t="e">
        <v>#VALUE!</v>
      </c>
      <c r="P1592" s="13" t="str">
        <f t="shared" si="25"/>
        <v/>
      </c>
      <c r="Q1592" s="158"/>
      <c r="R1592" s="142" t="s">
        <v>4063</v>
      </c>
    </row>
    <row r="1593" spans="1:18" s="139" customFormat="1" ht="78.599999999999994" customHeight="1" x14ac:dyDescent="0.15">
      <c r="A1593" s="142" t="s">
        <v>2375</v>
      </c>
      <c r="B1593" s="142">
        <v>20</v>
      </c>
      <c r="C1593" s="143" t="s">
        <v>4054</v>
      </c>
      <c r="D1593" s="143">
        <v>1984</v>
      </c>
      <c r="E1593" s="144" t="s">
        <v>34</v>
      </c>
      <c r="F1593" s="143"/>
      <c r="G1593" s="143" t="s">
        <v>4067</v>
      </c>
      <c r="H1593" s="142"/>
      <c r="I1593" s="143"/>
      <c r="J1593" s="142"/>
      <c r="K1593" s="142"/>
      <c r="L1593" s="142"/>
      <c r="M1593" s="142"/>
      <c r="N1593" s="12" t="s">
        <v>4068</v>
      </c>
      <c r="O1593" s="12" t="s">
        <v>1817</v>
      </c>
      <c r="P1593" s="13" t="str">
        <f t="shared" si="25"/>
        <v>亀山のいいとこさがし／人々がつたえてきたこと／技や仕事／心形刀流武芸形</v>
      </c>
      <c r="Q1593" s="158"/>
      <c r="R1593" s="142" t="s">
        <v>3422</v>
      </c>
    </row>
    <row r="1594" spans="1:18" s="139" customFormat="1" ht="43.5" customHeight="1" x14ac:dyDescent="0.15">
      <c r="A1594" s="142" t="s">
        <v>2375</v>
      </c>
      <c r="B1594" s="142">
        <v>20</v>
      </c>
      <c r="C1594" s="143" t="s">
        <v>4054</v>
      </c>
      <c r="D1594" s="143">
        <v>1984</v>
      </c>
      <c r="E1594" s="144" t="s">
        <v>20</v>
      </c>
      <c r="F1594" s="143"/>
      <c r="G1594" s="143" t="s">
        <v>4069</v>
      </c>
      <c r="H1594" s="142" t="s">
        <v>250</v>
      </c>
      <c r="I1594" s="143" t="s">
        <v>4070</v>
      </c>
      <c r="J1594" s="142"/>
      <c r="K1594" s="142"/>
      <c r="L1594" s="142"/>
      <c r="M1594" s="142"/>
      <c r="N1594" s="12"/>
      <c r="O1594" s="12" t="e">
        <v>#VALUE!</v>
      </c>
      <c r="P1594" s="13" t="str">
        <f t="shared" si="25"/>
        <v/>
      </c>
      <c r="Q1594" s="158"/>
      <c r="R1594" s="142" t="s">
        <v>3422</v>
      </c>
    </row>
    <row r="1595" spans="1:18" s="139" customFormat="1" ht="28.5" customHeight="1" x14ac:dyDescent="0.15">
      <c r="A1595" s="142" t="s">
        <v>2375</v>
      </c>
      <c r="B1595" s="142">
        <v>20</v>
      </c>
      <c r="C1595" s="143" t="s">
        <v>4054</v>
      </c>
      <c r="D1595" s="143">
        <v>1984</v>
      </c>
      <c r="E1595" s="144" t="s">
        <v>20</v>
      </c>
      <c r="F1595" s="143"/>
      <c r="G1595" s="143" t="s">
        <v>4071</v>
      </c>
      <c r="H1595" s="142" t="s">
        <v>464</v>
      </c>
      <c r="I1595" s="143" t="s">
        <v>4072</v>
      </c>
      <c r="J1595" s="142" t="s">
        <v>4073</v>
      </c>
      <c r="K1595" s="142"/>
      <c r="L1595" s="142"/>
      <c r="M1595" s="142"/>
      <c r="N1595" s="12"/>
      <c r="O1595" s="12" t="e">
        <v>#VALUE!</v>
      </c>
      <c r="P1595" s="13" t="str">
        <f t="shared" si="25"/>
        <v/>
      </c>
      <c r="Q1595" s="158"/>
      <c r="R1595" s="142" t="s">
        <v>3422</v>
      </c>
    </row>
    <row r="1596" spans="1:18" s="139" customFormat="1" ht="28.5" customHeight="1" x14ac:dyDescent="0.15">
      <c r="A1596" s="142" t="s">
        <v>2375</v>
      </c>
      <c r="B1596" s="142">
        <v>20</v>
      </c>
      <c r="C1596" s="143" t="s">
        <v>4054</v>
      </c>
      <c r="D1596" s="143">
        <v>1984</v>
      </c>
      <c r="E1596" s="144" t="s">
        <v>20</v>
      </c>
      <c r="F1596" s="143"/>
      <c r="G1596" s="143" t="s">
        <v>4074</v>
      </c>
      <c r="H1596" s="142"/>
      <c r="I1596" s="143"/>
      <c r="J1596" s="142"/>
      <c r="K1596" s="142"/>
      <c r="L1596" s="142"/>
      <c r="M1596" s="142"/>
      <c r="N1596" s="12"/>
      <c r="O1596" s="12" t="e">
        <v>#VALUE!</v>
      </c>
      <c r="P1596" s="13" t="str">
        <f t="shared" si="25"/>
        <v/>
      </c>
      <c r="Q1596" s="158"/>
      <c r="R1596" s="142" t="s">
        <v>3422</v>
      </c>
    </row>
    <row r="1597" spans="1:18" s="139" customFormat="1" ht="28.5" customHeight="1" x14ac:dyDescent="0.15">
      <c r="A1597" s="142" t="s">
        <v>2375</v>
      </c>
      <c r="B1597" s="142">
        <v>20</v>
      </c>
      <c r="C1597" s="143" t="s">
        <v>4054</v>
      </c>
      <c r="D1597" s="143">
        <v>1984</v>
      </c>
      <c r="E1597" s="144" t="s">
        <v>20</v>
      </c>
      <c r="F1597" s="143"/>
      <c r="G1597" s="143" t="s">
        <v>4075</v>
      </c>
      <c r="H1597" s="142" t="s">
        <v>199</v>
      </c>
      <c r="I1597" s="143" t="s">
        <v>2593</v>
      </c>
      <c r="J1597" s="142" t="s">
        <v>4076</v>
      </c>
      <c r="K1597" s="142"/>
      <c r="L1597" s="142"/>
      <c r="M1597" s="142"/>
      <c r="N1597" s="12" t="s">
        <v>3411</v>
      </c>
      <c r="O1597" s="12" t="s">
        <v>3405</v>
      </c>
      <c r="P1597" s="13" t="str">
        <f t="shared" si="25"/>
        <v>日本の歴史の中の亀山／現代の亀山／交通と通信／道路網の整備</v>
      </c>
      <c r="Q1597" s="158"/>
      <c r="R1597" s="142" t="s">
        <v>4077</v>
      </c>
    </row>
    <row r="1598" spans="1:18" s="139" customFormat="1" ht="15" customHeight="1" x14ac:dyDescent="0.15">
      <c r="A1598" s="142" t="s">
        <v>2375</v>
      </c>
      <c r="B1598" s="142">
        <v>20</v>
      </c>
      <c r="C1598" s="143" t="s">
        <v>4054</v>
      </c>
      <c r="D1598" s="143">
        <v>1984</v>
      </c>
      <c r="E1598" s="144" t="s">
        <v>20</v>
      </c>
      <c r="F1598" s="143"/>
      <c r="G1598" s="143" t="s">
        <v>4078</v>
      </c>
      <c r="H1598" s="142" t="s">
        <v>199</v>
      </c>
      <c r="I1598" s="175" t="s">
        <v>2475</v>
      </c>
      <c r="J1598" s="142" t="s">
        <v>4079</v>
      </c>
      <c r="K1598" s="142"/>
      <c r="L1598" s="142"/>
      <c r="M1598" s="142"/>
      <c r="N1598" s="12"/>
      <c r="O1598" s="12" t="e">
        <v>#VALUE!</v>
      </c>
      <c r="P1598" s="13" t="str">
        <f t="shared" si="25"/>
        <v/>
      </c>
      <c r="Q1598" s="158"/>
      <c r="R1598" s="142" t="s">
        <v>4077</v>
      </c>
    </row>
    <row r="1599" spans="1:18" s="139" customFormat="1" ht="28.5" customHeight="1" x14ac:dyDescent="0.15">
      <c r="A1599" s="142" t="s">
        <v>2375</v>
      </c>
      <c r="B1599" s="142">
        <v>20</v>
      </c>
      <c r="C1599" s="143" t="s">
        <v>4054</v>
      </c>
      <c r="D1599" s="143">
        <v>1984</v>
      </c>
      <c r="E1599" s="144" t="s">
        <v>34</v>
      </c>
      <c r="F1599" s="143"/>
      <c r="G1599" s="143" t="s">
        <v>4080</v>
      </c>
      <c r="H1599" s="142" t="s">
        <v>199</v>
      </c>
      <c r="I1599" s="175" t="s">
        <v>2475</v>
      </c>
      <c r="J1599" s="142" t="s">
        <v>4081</v>
      </c>
      <c r="K1599" s="142"/>
      <c r="L1599" s="142"/>
      <c r="M1599" s="142"/>
      <c r="N1599" s="12"/>
      <c r="O1599" s="12" t="e">
        <v>#VALUE!</v>
      </c>
      <c r="P1599" s="13" t="str">
        <f t="shared" si="25"/>
        <v/>
      </c>
      <c r="Q1599" s="158"/>
      <c r="R1599" s="142" t="s">
        <v>4077</v>
      </c>
    </row>
    <row r="1600" spans="1:18" s="139" customFormat="1" ht="18.75" customHeight="1" x14ac:dyDescent="0.15">
      <c r="A1600" s="145" t="s">
        <v>2375</v>
      </c>
      <c r="B1600" s="145">
        <v>20</v>
      </c>
      <c r="C1600" s="146" t="s">
        <v>4054</v>
      </c>
      <c r="D1600" s="146">
        <v>1984</v>
      </c>
      <c r="E1600" s="147" t="s">
        <v>34</v>
      </c>
      <c r="F1600" s="146"/>
      <c r="G1600" s="345" t="s">
        <v>4082</v>
      </c>
      <c r="H1600" s="145" t="s">
        <v>199</v>
      </c>
      <c r="I1600" s="349" t="s">
        <v>3973</v>
      </c>
      <c r="J1600" s="71" t="str">
        <f>HYPERLINK("http://kameyamarekihaku.jp/sisi/tuusiHP_next/kingendai/image/09/gi.htm?pf=3111sh009-20.JPG&amp;?pn=%E9%96%A2%E5%AE%BF%EF%BC%88%E4%B8%AD%E7%94%BA%EF%BC%9A%E6%98%AD%E5%92%8C58%E5%B9%B4%EF%BC%89","関宿")</f>
        <v>関宿</v>
      </c>
      <c r="K1600" s="145"/>
      <c r="L1600" s="145"/>
      <c r="M1600" s="16" t="str">
        <f>HYPERLINK("http://kameyamarekihaku.jp/sisi/tuusiHP_next/kochuusei/image/10/gi.htm?pf=1305sh187.JPG&amp;?pn=%20%E7%8F%BE%E5%9C%A8%E3%81%AE%E9%96%A2%E5%AE%BF%E5%86%85%E6%96%B0%E6%89%80%EF%BC%88%E9%96%A2%E7%94%BA%E6%96%B0%E6%89%80%EF%BC%89","現在の関宿")</f>
        <v>現在の関宿</v>
      </c>
      <c r="N1600" s="32" t="s">
        <v>3937</v>
      </c>
      <c r="O1600" s="32" t="s">
        <v>923</v>
      </c>
      <c r="P1600" s="33" t="str">
        <f t="shared" si="25"/>
        <v>むかしの道と交通／亀山の近世の道</v>
      </c>
      <c r="Q1600" s="17" t="str">
        <f>HYPERLINK("http:/kameyamarekihaku.jp/sisi/tuusiHP_next/tuusi-index.html#kingendai0904","市史通史編 近代・現代第9章第4節第2項")</f>
        <v>市史通史編 近代・現代第9章第4節第2項</v>
      </c>
      <c r="R1600" s="347" t="s">
        <v>4083</v>
      </c>
    </row>
    <row r="1601" spans="1:18" s="139" customFormat="1" ht="27.75" customHeight="1" x14ac:dyDescent="0.15">
      <c r="A1601" s="136"/>
      <c r="B1601" s="136"/>
      <c r="C1601" s="137"/>
      <c r="D1601" s="137"/>
      <c r="E1601" s="138"/>
      <c r="F1601" s="137"/>
      <c r="G1601" s="346"/>
      <c r="H1601" s="136"/>
      <c r="I1601" s="350"/>
      <c r="J1601" s="76"/>
      <c r="K1601" s="136"/>
      <c r="L1601" s="136"/>
      <c r="M1601" s="27"/>
      <c r="N1601" s="19" t="s">
        <v>1728</v>
      </c>
      <c r="O1601" s="19" t="s">
        <v>1251</v>
      </c>
      <c r="P1601" s="20" t="str">
        <f t="shared" si="25"/>
        <v>亀山城と宿場／４つの宿場／東海道・伊勢街道・大和街道分岐の宿場 関宿</v>
      </c>
      <c r="Q1601" s="21"/>
      <c r="R1601" s="332"/>
    </row>
    <row r="1602" spans="1:18" s="139" customFormat="1" ht="42" customHeight="1" x14ac:dyDescent="0.15">
      <c r="A1602" s="151"/>
      <c r="B1602" s="151"/>
      <c r="C1602" s="152"/>
      <c r="D1602" s="152"/>
      <c r="E1602" s="153"/>
      <c r="F1602" s="152"/>
      <c r="G1602" s="353"/>
      <c r="H1602" s="151"/>
      <c r="I1602" s="374"/>
      <c r="J1602" s="102"/>
      <c r="K1602" s="151"/>
      <c r="L1602" s="151"/>
      <c r="M1602" s="18"/>
      <c r="N1602" s="29" t="s">
        <v>3974</v>
      </c>
      <c r="O1602" s="29" t="s">
        <v>3941</v>
      </c>
      <c r="P1602" s="30" t="str">
        <f t="shared" si="25"/>
        <v>亀山のいいとこさがし／景色のよいところや歴史を知る手掛かりとなるもの／関宿のまちなみ</v>
      </c>
      <c r="Q1602" s="10"/>
      <c r="R1602" s="348"/>
    </row>
    <row r="1603" spans="1:18" s="139" customFormat="1" ht="15" customHeight="1" x14ac:dyDescent="0.15">
      <c r="A1603" s="142" t="s">
        <v>2375</v>
      </c>
      <c r="B1603" s="142">
        <v>20</v>
      </c>
      <c r="C1603" s="143" t="s">
        <v>4054</v>
      </c>
      <c r="D1603" s="143">
        <v>1984</v>
      </c>
      <c r="E1603" s="144" t="s">
        <v>20</v>
      </c>
      <c r="F1603" s="143"/>
      <c r="G1603" s="143" t="s">
        <v>4084</v>
      </c>
      <c r="H1603" s="142" t="s">
        <v>1336</v>
      </c>
      <c r="I1603" s="175"/>
      <c r="J1603" s="142"/>
      <c r="K1603" s="142"/>
      <c r="L1603" s="142"/>
      <c r="M1603" s="142"/>
      <c r="N1603" s="12"/>
      <c r="O1603" s="12" t="e">
        <v>#VALUE!</v>
      </c>
      <c r="P1603" s="13" t="str">
        <f t="shared" si="25"/>
        <v/>
      </c>
      <c r="Q1603" s="158"/>
      <c r="R1603" s="142" t="s">
        <v>4077</v>
      </c>
    </row>
    <row r="1604" spans="1:18" customFormat="1" ht="15" customHeight="1" x14ac:dyDescent="0.15">
      <c r="A1604" s="142" t="s">
        <v>2375</v>
      </c>
      <c r="B1604" s="142">
        <v>20</v>
      </c>
      <c r="C1604" s="243" t="s">
        <v>4085</v>
      </c>
      <c r="D1604" s="244">
        <v>1984</v>
      </c>
      <c r="E1604" s="144" t="s">
        <v>20</v>
      </c>
      <c r="F1604" s="245"/>
      <c r="G1604" s="120" t="s">
        <v>4086</v>
      </c>
      <c r="H1604" s="246" t="s">
        <v>199</v>
      </c>
      <c r="I1604" s="246" t="s">
        <v>4087</v>
      </c>
      <c r="J1604" s="247" t="s">
        <v>4088</v>
      </c>
      <c r="K1604" s="247"/>
      <c r="L1604" s="248"/>
      <c r="M1604" s="248"/>
      <c r="N1604" s="12"/>
      <c r="O1604" s="12" t="e">
        <v>#VALUE!</v>
      </c>
      <c r="P1604" s="13" t="str">
        <f t="shared" si="25"/>
        <v/>
      </c>
      <c r="Q1604" s="194"/>
      <c r="R1604" s="248" t="s">
        <v>4089</v>
      </c>
    </row>
    <row r="1605" spans="1:18" customFormat="1" ht="15" customHeight="1" x14ac:dyDescent="0.15">
      <c r="A1605" s="142" t="s">
        <v>2375</v>
      </c>
      <c r="B1605" s="142">
        <v>20</v>
      </c>
      <c r="C1605" s="243" t="s">
        <v>4090</v>
      </c>
      <c r="D1605" s="244">
        <v>1985</v>
      </c>
      <c r="E1605" s="144" t="s">
        <v>20</v>
      </c>
      <c r="F1605" s="245" t="s">
        <v>4091</v>
      </c>
      <c r="G1605" s="120"/>
      <c r="H1605" s="246"/>
      <c r="I1605" s="246"/>
      <c r="J1605" s="247"/>
      <c r="K1605" s="247"/>
      <c r="L1605" s="248"/>
      <c r="M1605" s="248"/>
      <c r="N1605" s="12"/>
      <c r="O1605" s="12" t="e">
        <v>#VALUE!</v>
      </c>
      <c r="P1605" s="13" t="str">
        <f t="shared" ref="P1605:P1668" si="26">IFERROR(HYPERLINK(O1605,N1605),"")</f>
        <v/>
      </c>
      <c r="Q1605" s="194"/>
      <c r="R1605" s="248"/>
    </row>
    <row r="1606" spans="1:18" s="139" customFormat="1" ht="28.5" customHeight="1" x14ac:dyDescent="0.15">
      <c r="A1606" s="142" t="s">
        <v>2375</v>
      </c>
      <c r="B1606" s="142">
        <v>20</v>
      </c>
      <c r="C1606" s="143" t="s">
        <v>4092</v>
      </c>
      <c r="D1606" s="143">
        <v>1985</v>
      </c>
      <c r="E1606" s="144" t="s">
        <v>20</v>
      </c>
      <c r="F1606" s="143"/>
      <c r="G1606" s="143" t="s">
        <v>4093</v>
      </c>
      <c r="H1606" s="142" t="s">
        <v>464</v>
      </c>
      <c r="I1606" s="175" t="s">
        <v>1833</v>
      </c>
      <c r="J1606" s="142" t="s">
        <v>4094</v>
      </c>
      <c r="K1606" s="142"/>
      <c r="L1606" s="142"/>
      <c r="M1606" s="142"/>
      <c r="N1606" s="12"/>
      <c r="O1606" s="12" t="e">
        <v>#VALUE!</v>
      </c>
      <c r="P1606" s="13" t="str">
        <f t="shared" si="26"/>
        <v/>
      </c>
      <c r="Q1606" s="158"/>
      <c r="R1606" s="142" t="s">
        <v>4095</v>
      </c>
    </row>
    <row r="1607" spans="1:18" s="139" customFormat="1" ht="28.5" customHeight="1" x14ac:dyDescent="0.15">
      <c r="A1607" s="142" t="s">
        <v>2375</v>
      </c>
      <c r="B1607" s="142">
        <v>20</v>
      </c>
      <c r="C1607" s="143" t="s">
        <v>4092</v>
      </c>
      <c r="D1607" s="143">
        <v>1985</v>
      </c>
      <c r="E1607" s="144" t="s">
        <v>20</v>
      </c>
      <c r="F1607" s="143"/>
      <c r="G1607" s="143" t="s">
        <v>4096</v>
      </c>
      <c r="H1607" s="142" t="s">
        <v>464</v>
      </c>
      <c r="I1607" s="143" t="s">
        <v>3872</v>
      </c>
      <c r="J1607" s="142" t="s">
        <v>4097</v>
      </c>
      <c r="K1607" s="142"/>
      <c r="L1607" s="142"/>
      <c r="M1607" s="142"/>
      <c r="N1607" s="23"/>
      <c r="O1607" s="23" t="e">
        <v>#VALUE!</v>
      </c>
      <c r="P1607" s="24" t="str">
        <f t="shared" si="26"/>
        <v/>
      </c>
      <c r="Q1607" s="25" t="str">
        <f>HYPERLINK("http:/kameyamarekihaku.jp/sisi/tuusiHP_next/tuusi-index.html#kingendai0904","市史通史編 近代・現代第9章第4節")</f>
        <v>市史通史編 近代・現代第9章第4節</v>
      </c>
      <c r="R1607" s="142" t="s">
        <v>3422</v>
      </c>
    </row>
    <row r="1608" spans="1:18" s="139" customFormat="1" ht="15" customHeight="1" x14ac:dyDescent="0.15">
      <c r="A1608" s="142" t="s">
        <v>2375</v>
      </c>
      <c r="B1608" s="142">
        <v>20</v>
      </c>
      <c r="C1608" s="143" t="s">
        <v>4092</v>
      </c>
      <c r="D1608" s="143">
        <v>1985</v>
      </c>
      <c r="E1608" s="144" t="s">
        <v>20</v>
      </c>
      <c r="F1608" s="143"/>
      <c r="G1608" s="143" t="s">
        <v>4098</v>
      </c>
      <c r="H1608" s="142" t="s">
        <v>3537</v>
      </c>
      <c r="I1608" s="143" t="s">
        <v>3659</v>
      </c>
      <c r="J1608" s="142" t="s">
        <v>4099</v>
      </c>
      <c r="K1608" s="142"/>
      <c r="L1608" s="142"/>
      <c r="M1608" s="142"/>
      <c r="N1608" s="12"/>
      <c r="O1608" s="12" t="e">
        <v>#VALUE!</v>
      </c>
      <c r="P1608" s="13" t="str">
        <f t="shared" si="26"/>
        <v/>
      </c>
      <c r="Q1608" s="158"/>
      <c r="R1608" s="142" t="s">
        <v>4100</v>
      </c>
    </row>
    <row r="1609" spans="1:18" s="139" customFormat="1" ht="55.5" customHeight="1" x14ac:dyDescent="0.15">
      <c r="A1609" s="142" t="s">
        <v>2375</v>
      </c>
      <c r="B1609" s="142">
        <v>20</v>
      </c>
      <c r="C1609" s="143" t="s">
        <v>4101</v>
      </c>
      <c r="D1609" s="143">
        <v>1985</v>
      </c>
      <c r="E1609" s="144" t="s">
        <v>20</v>
      </c>
      <c r="F1609" s="143"/>
      <c r="G1609" s="143" t="s">
        <v>4102</v>
      </c>
      <c r="H1609" s="142" t="s">
        <v>250</v>
      </c>
      <c r="I1609" s="143" t="s">
        <v>4103</v>
      </c>
      <c r="J1609" s="142" t="s">
        <v>4104</v>
      </c>
      <c r="K1609" s="142"/>
      <c r="L1609" s="142"/>
      <c r="M1609" s="142"/>
      <c r="N1609" s="23"/>
      <c r="O1609" s="23" t="e">
        <v>#VALUE!</v>
      </c>
      <c r="P1609" s="24" t="str">
        <f t="shared" si="26"/>
        <v/>
      </c>
      <c r="Q1609" s="25" t="str">
        <f>HYPERLINK("http:/kameyamarekihaku.jp/sisi/tuusiHP_next/tuusi-index.html#kingendai0801","市史通史編 近代・現代第8章第1節")</f>
        <v>市史通史編 近代・現代第8章第1節</v>
      </c>
      <c r="R1609" s="142" t="s">
        <v>4105</v>
      </c>
    </row>
    <row r="1610" spans="1:18" s="139" customFormat="1" ht="43.5" customHeight="1" x14ac:dyDescent="0.15">
      <c r="A1610" s="142" t="s">
        <v>2375</v>
      </c>
      <c r="B1610" s="142">
        <v>20</v>
      </c>
      <c r="C1610" s="143" t="s">
        <v>4101</v>
      </c>
      <c r="D1610" s="143">
        <v>1985</v>
      </c>
      <c r="E1610" s="144" t="s">
        <v>20</v>
      </c>
      <c r="F1610" s="143"/>
      <c r="G1610" s="143" t="s">
        <v>4106</v>
      </c>
      <c r="H1610" s="142"/>
      <c r="I1610" s="143"/>
      <c r="J1610" s="142"/>
      <c r="K1610" s="142"/>
      <c r="L1610" s="142"/>
      <c r="M1610" s="142"/>
      <c r="N1610" s="12"/>
      <c r="O1610" s="12" t="e">
        <v>#VALUE!</v>
      </c>
      <c r="P1610" s="13" t="str">
        <f t="shared" si="26"/>
        <v/>
      </c>
      <c r="Q1610" s="158"/>
      <c r="R1610" s="142" t="s">
        <v>3422</v>
      </c>
    </row>
    <row r="1611" spans="1:18" s="139" customFormat="1" ht="55.5" customHeight="1" x14ac:dyDescent="0.15">
      <c r="A1611" s="142" t="s">
        <v>2375</v>
      </c>
      <c r="B1611" s="142">
        <v>20</v>
      </c>
      <c r="C1611" s="143" t="s">
        <v>4101</v>
      </c>
      <c r="D1611" s="143">
        <v>1985</v>
      </c>
      <c r="E1611" s="144" t="s">
        <v>20</v>
      </c>
      <c r="F1611" s="143"/>
      <c r="G1611" s="143" t="s">
        <v>4107</v>
      </c>
      <c r="H1611" s="142" t="s">
        <v>4108</v>
      </c>
      <c r="I1611" s="143"/>
      <c r="J1611" s="142"/>
      <c r="K1611" s="142"/>
      <c r="L1611" s="142"/>
      <c r="M1611" s="142"/>
      <c r="N1611" s="12"/>
      <c r="O1611" s="12" t="e">
        <v>#VALUE!</v>
      </c>
      <c r="P1611" s="13" t="str">
        <f t="shared" si="26"/>
        <v/>
      </c>
      <c r="Q1611" s="158"/>
      <c r="R1611" s="142" t="s">
        <v>3422</v>
      </c>
    </row>
    <row r="1612" spans="1:18" s="139" customFormat="1" ht="28.5" customHeight="1" x14ac:dyDescent="0.15">
      <c r="A1612" s="142" t="s">
        <v>2375</v>
      </c>
      <c r="B1612" s="142">
        <v>20</v>
      </c>
      <c r="C1612" s="143" t="s">
        <v>4101</v>
      </c>
      <c r="D1612" s="143">
        <v>1985</v>
      </c>
      <c r="E1612" s="144" t="s">
        <v>20</v>
      </c>
      <c r="F1612" s="143"/>
      <c r="G1612" s="143" t="s">
        <v>4109</v>
      </c>
      <c r="H1612" s="142" t="s">
        <v>464</v>
      </c>
      <c r="I1612" s="143" t="s">
        <v>3542</v>
      </c>
      <c r="J1612" s="142" t="s">
        <v>4110</v>
      </c>
      <c r="K1612" s="142"/>
      <c r="L1612" s="142"/>
      <c r="M1612" s="142"/>
      <c r="N1612" s="12"/>
      <c r="O1612" s="12" t="e">
        <v>#VALUE!</v>
      </c>
      <c r="P1612" s="13" t="str">
        <f t="shared" si="26"/>
        <v/>
      </c>
      <c r="Q1612" s="158"/>
      <c r="R1612" s="142" t="s">
        <v>3422</v>
      </c>
    </row>
    <row r="1613" spans="1:18" customFormat="1" ht="28.5" customHeight="1" x14ac:dyDescent="0.15">
      <c r="A1613" s="142" t="s">
        <v>2375</v>
      </c>
      <c r="B1613" s="142">
        <v>20</v>
      </c>
      <c r="C1613" s="143" t="s">
        <v>4101</v>
      </c>
      <c r="D1613" s="143">
        <v>1985</v>
      </c>
      <c r="E1613" s="144" t="s">
        <v>20</v>
      </c>
      <c r="F1613" s="245"/>
      <c r="G1613" s="120" t="s">
        <v>4111</v>
      </c>
      <c r="H1613" s="246" t="s">
        <v>199</v>
      </c>
      <c r="I1613" s="247"/>
      <c r="J1613" s="247"/>
      <c r="K1613" s="247"/>
      <c r="L1613" s="248"/>
      <c r="M1613" s="248"/>
      <c r="N1613" s="12"/>
      <c r="O1613" s="12" t="e">
        <v>#VALUE!</v>
      </c>
      <c r="P1613" s="13" t="str">
        <f t="shared" si="26"/>
        <v/>
      </c>
      <c r="Q1613" s="194"/>
      <c r="R1613" s="248" t="s">
        <v>4089</v>
      </c>
    </row>
    <row r="1614" spans="1:18" s="139" customFormat="1" ht="28.5" customHeight="1" x14ac:dyDescent="0.15">
      <c r="A1614" s="142" t="s">
        <v>2375</v>
      </c>
      <c r="B1614" s="142">
        <v>20</v>
      </c>
      <c r="C1614" s="143" t="s">
        <v>4112</v>
      </c>
      <c r="D1614" s="143">
        <v>1986</v>
      </c>
      <c r="E1614" s="144" t="s">
        <v>34</v>
      </c>
      <c r="F1614" s="143"/>
      <c r="G1614" s="161" t="s">
        <v>4113</v>
      </c>
      <c r="H1614" s="142"/>
      <c r="I1614" s="143"/>
      <c r="J1614" s="142"/>
      <c r="K1614" s="142"/>
      <c r="L1614" s="142"/>
      <c r="M1614" s="142"/>
      <c r="N1614" s="12"/>
      <c r="O1614" s="12" t="e">
        <v>#VALUE!</v>
      </c>
      <c r="P1614" s="13" t="str">
        <f t="shared" si="26"/>
        <v/>
      </c>
      <c r="Q1614" s="158"/>
      <c r="R1614" s="142" t="s">
        <v>4114</v>
      </c>
    </row>
    <row r="1615" spans="1:18" s="139" customFormat="1" ht="83.25" customHeight="1" x14ac:dyDescent="0.15">
      <c r="A1615" s="142" t="s">
        <v>2375</v>
      </c>
      <c r="B1615" s="142">
        <v>20</v>
      </c>
      <c r="C1615" s="143" t="s">
        <v>4112</v>
      </c>
      <c r="D1615" s="143">
        <v>1986</v>
      </c>
      <c r="E1615" s="144" t="s">
        <v>20</v>
      </c>
      <c r="F1615" s="143"/>
      <c r="G1615" s="143" t="s">
        <v>4115</v>
      </c>
      <c r="H1615" s="142"/>
      <c r="I1615" s="143"/>
      <c r="J1615" s="142"/>
      <c r="K1615" s="142"/>
      <c r="L1615" s="142"/>
      <c r="M1615" s="142"/>
      <c r="N1615" s="12"/>
      <c r="O1615" s="12" t="e">
        <v>#VALUE!</v>
      </c>
      <c r="P1615" s="13" t="str">
        <f t="shared" si="26"/>
        <v/>
      </c>
      <c r="Q1615" s="158"/>
      <c r="R1615" s="142" t="s">
        <v>3422</v>
      </c>
    </row>
    <row r="1616" spans="1:18" s="139" customFormat="1" ht="43.5" customHeight="1" x14ac:dyDescent="0.15">
      <c r="A1616" s="142" t="s">
        <v>2375</v>
      </c>
      <c r="B1616" s="142">
        <v>20</v>
      </c>
      <c r="C1616" s="143" t="s">
        <v>4112</v>
      </c>
      <c r="D1616" s="143">
        <v>1986</v>
      </c>
      <c r="E1616" s="144" t="s">
        <v>20</v>
      </c>
      <c r="F1616" s="143"/>
      <c r="G1616" s="143" t="s">
        <v>4116</v>
      </c>
      <c r="H1616" s="120" t="s">
        <v>4117</v>
      </c>
      <c r="I1616" s="175" t="s">
        <v>4118</v>
      </c>
      <c r="J1616" s="142" t="s">
        <v>4119</v>
      </c>
      <c r="K1616" s="142"/>
      <c r="L1616" s="142"/>
      <c r="M1616" s="142"/>
      <c r="N1616" s="12" t="s">
        <v>2919</v>
      </c>
      <c r="O1616" s="12" t="s">
        <v>2731</v>
      </c>
      <c r="P1616" s="13" t="str">
        <f t="shared" si="26"/>
        <v>日本の歴史の中の亀山／現代の亀山／教育と医療・福祉／保育園</v>
      </c>
      <c r="Q1616" s="158"/>
      <c r="R1616" s="142" t="s">
        <v>3422</v>
      </c>
    </row>
    <row r="1617" spans="1:18" s="139" customFormat="1" ht="43.5" customHeight="1" x14ac:dyDescent="0.15">
      <c r="A1617" s="142" t="s">
        <v>2375</v>
      </c>
      <c r="B1617" s="142">
        <v>20</v>
      </c>
      <c r="C1617" s="143" t="s">
        <v>4112</v>
      </c>
      <c r="D1617" s="143">
        <v>1986</v>
      </c>
      <c r="E1617" s="144" t="s">
        <v>20</v>
      </c>
      <c r="F1617" s="143"/>
      <c r="G1617" s="143" t="s">
        <v>4120</v>
      </c>
      <c r="H1617" s="142"/>
      <c r="I1617" s="143"/>
      <c r="J1617" s="142"/>
      <c r="K1617" s="142"/>
      <c r="L1617" s="142"/>
      <c r="M1617" s="142"/>
      <c r="N1617" s="12" t="s">
        <v>3034</v>
      </c>
      <c r="O1617" s="12" t="s">
        <v>3035</v>
      </c>
      <c r="P1617" s="13" t="str">
        <f t="shared" si="26"/>
        <v>日本の歴史の中の亀山／現代の亀山／行政と政治／水道</v>
      </c>
      <c r="Q1617" s="158"/>
      <c r="R1617" s="142" t="s">
        <v>3422</v>
      </c>
    </row>
    <row r="1618" spans="1:18" s="139" customFormat="1" ht="15" customHeight="1" x14ac:dyDescent="0.15">
      <c r="A1618" s="142" t="s">
        <v>2375</v>
      </c>
      <c r="B1618" s="142">
        <v>20</v>
      </c>
      <c r="C1618" s="143" t="s">
        <v>4112</v>
      </c>
      <c r="D1618" s="143">
        <v>1986</v>
      </c>
      <c r="E1618" s="144" t="s">
        <v>20</v>
      </c>
      <c r="F1618" s="143"/>
      <c r="G1618" s="143" t="s">
        <v>4121</v>
      </c>
      <c r="H1618" s="142"/>
      <c r="I1618" s="143"/>
      <c r="J1618" s="142"/>
      <c r="K1618" s="142"/>
      <c r="L1618" s="142"/>
      <c r="M1618" s="142"/>
      <c r="N1618" s="12"/>
      <c r="O1618" s="12" t="e">
        <v>#VALUE!</v>
      </c>
      <c r="P1618" s="13" t="str">
        <f t="shared" si="26"/>
        <v/>
      </c>
      <c r="Q1618" s="158"/>
      <c r="R1618" s="142" t="s">
        <v>3422</v>
      </c>
    </row>
    <row r="1619" spans="1:18" s="139" customFormat="1" ht="27.75" customHeight="1" x14ac:dyDescent="0.15">
      <c r="A1619" s="145" t="s">
        <v>2375</v>
      </c>
      <c r="B1619" s="145">
        <v>20</v>
      </c>
      <c r="C1619" s="146" t="s">
        <v>4112</v>
      </c>
      <c r="D1619" s="146">
        <v>1986</v>
      </c>
      <c r="E1619" s="147" t="s">
        <v>34</v>
      </c>
      <c r="F1619" s="146"/>
      <c r="G1619" s="345" t="s">
        <v>4122</v>
      </c>
      <c r="H1619" s="145" t="s">
        <v>122</v>
      </c>
      <c r="I1619" s="146" t="s">
        <v>41</v>
      </c>
      <c r="J1619" s="71" t="str">
        <f>HYPERLINK("http://kameyamarekihaku.jp/sisi/koukoHP/archives/oohana/01/01-02/gi.html?pf=OOHA01-38.JPG&amp;pn=%E2%85%A1%E5%8C%BA%E6%9D%B1%E5%8D%8A%E9%83%A8%E5%9E%82%E7%9B%B4%E5%86%99%E7%9C%9F","大鼻遺跡")</f>
        <v>大鼻遺跡</v>
      </c>
      <c r="K1619" s="145"/>
      <c r="L1619" s="145" t="s">
        <v>4123</v>
      </c>
      <c r="M1619" s="145"/>
      <c r="N1619" s="310" t="s">
        <v>4124</v>
      </c>
      <c r="O1619" s="310" t="s">
        <v>44</v>
      </c>
      <c r="P1619" s="311" t="str">
        <f t="shared" si="26"/>
        <v>日本の歴史の中の亀山／古代の亀山／亀山のあけぼの／人が住み始めたころの亀山／縄文時代の暮らし／大鼻遺跡</v>
      </c>
      <c r="Q1619" s="17" t="str">
        <f>HYPERLINK("http:/kameyamarekihaku.jp/sisi/KoukoHP/iseki.html","市史考古編遺跡一覧N0.1")</f>
        <v>市史考古編遺跡一覧N0.1</v>
      </c>
      <c r="R1619" s="347" t="s">
        <v>4125</v>
      </c>
    </row>
    <row r="1620" spans="1:18" s="139" customFormat="1" ht="28.5" customHeight="1" x14ac:dyDescent="0.15">
      <c r="A1620" s="151"/>
      <c r="B1620" s="151"/>
      <c r="C1620" s="152"/>
      <c r="D1620" s="152"/>
      <c r="E1620" s="153"/>
      <c r="F1620" s="152"/>
      <c r="G1620" s="353"/>
      <c r="H1620" s="151"/>
      <c r="I1620" s="152"/>
      <c r="J1620" s="102"/>
      <c r="K1620" s="151"/>
      <c r="L1620" s="102" t="str">
        <f>HYPERLINK("http://kameyamarekihaku.jp/sisi/koukoHP/archives/oohana/01/01-02/gi.html?pf=OOHA01-35.JPG&amp;pn=%E5%A4%A7%E9%BC%BB%E5%BC%8F%E5%9C%9F%E5%99%A8","押型文（大鼻式）土器")</f>
        <v>押型文（大鼻式）土器</v>
      </c>
      <c r="M1620" s="151"/>
      <c r="N1620" s="306"/>
      <c r="O1620" s="306" t="e">
        <v>#VALUE!</v>
      </c>
      <c r="P1620" s="308" t="str">
        <f t="shared" si="26"/>
        <v/>
      </c>
      <c r="Q1620" s="10" t="str">
        <f>HYPERLINK("http:/kameyamarekihaku.jp/sisi/KoukoHP/dai1sho.html","市史考古編第1章")</f>
        <v>市史考古編第1章</v>
      </c>
      <c r="R1620" s="348"/>
    </row>
    <row r="1621" spans="1:18" s="139" customFormat="1" ht="69" customHeight="1" x14ac:dyDescent="0.15">
      <c r="A1621" s="142" t="s">
        <v>2375</v>
      </c>
      <c r="B1621" s="142">
        <v>20</v>
      </c>
      <c r="C1621" s="143" t="s">
        <v>4126</v>
      </c>
      <c r="D1621" s="143">
        <v>1986</v>
      </c>
      <c r="E1621" s="144" t="s">
        <v>20</v>
      </c>
      <c r="F1621" s="143"/>
      <c r="G1621" s="143" t="s">
        <v>4127</v>
      </c>
      <c r="H1621" s="142" t="s">
        <v>464</v>
      </c>
      <c r="I1621" s="143" t="s">
        <v>4128</v>
      </c>
      <c r="J1621" s="142" t="s">
        <v>4129</v>
      </c>
      <c r="K1621" s="142"/>
      <c r="L1621" s="142"/>
      <c r="M1621" s="142"/>
      <c r="N1621" s="12"/>
      <c r="O1621" s="12" t="e">
        <v>#VALUE!</v>
      </c>
      <c r="P1621" s="13" t="str">
        <f t="shared" si="26"/>
        <v/>
      </c>
      <c r="Q1621" s="158"/>
      <c r="R1621" s="142" t="s">
        <v>3422</v>
      </c>
    </row>
    <row r="1622" spans="1:18" s="139" customFormat="1" ht="28.5" customHeight="1" x14ac:dyDescent="0.15">
      <c r="A1622" s="142" t="s">
        <v>2375</v>
      </c>
      <c r="B1622" s="142">
        <v>20</v>
      </c>
      <c r="C1622" s="143" t="s">
        <v>4126</v>
      </c>
      <c r="D1622" s="143">
        <v>1986</v>
      </c>
      <c r="E1622" s="144" t="s">
        <v>20</v>
      </c>
      <c r="F1622" s="143"/>
      <c r="G1622" s="143" t="s">
        <v>4130</v>
      </c>
      <c r="H1622" s="142" t="s">
        <v>464</v>
      </c>
      <c r="I1622" s="143" t="s">
        <v>4128</v>
      </c>
      <c r="J1622" s="142" t="s">
        <v>4131</v>
      </c>
      <c r="K1622" s="142"/>
      <c r="L1622" s="142"/>
      <c r="M1622" s="142"/>
      <c r="N1622" s="12"/>
      <c r="O1622" s="12" t="e">
        <v>#VALUE!</v>
      </c>
      <c r="P1622" s="13" t="str">
        <f t="shared" si="26"/>
        <v/>
      </c>
      <c r="Q1622" s="158"/>
      <c r="R1622" s="142" t="s">
        <v>3422</v>
      </c>
    </row>
    <row r="1623" spans="1:18" s="139" customFormat="1" ht="15" customHeight="1" x14ac:dyDescent="0.15">
      <c r="A1623" s="142" t="s">
        <v>2375</v>
      </c>
      <c r="B1623" s="142">
        <v>20</v>
      </c>
      <c r="C1623" s="143" t="s">
        <v>4126</v>
      </c>
      <c r="D1623" s="143">
        <v>1986</v>
      </c>
      <c r="E1623" s="144" t="s">
        <v>34</v>
      </c>
      <c r="F1623" s="143"/>
      <c r="G1623" s="143" t="s">
        <v>4132</v>
      </c>
      <c r="H1623" s="142"/>
      <c r="I1623" s="143"/>
      <c r="J1623" s="142"/>
      <c r="K1623" s="142"/>
      <c r="L1623" s="142"/>
      <c r="M1623" s="142"/>
      <c r="N1623" s="12"/>
      <c r="O1623" s="12" t="e">
        <v>#VALUE!</v>
      </c>
      <c r="P1623" s="13" t="str">
        <f t="shared" si="26"/>
        <v/>
      </c>
      <c r="Q1623" s="158"/>
      <c r="R1623" s="142" t="s">
        <v>3422</v>
      </c>
    </row>
    <row r="1624" spans="1:18" s="139" customFormat="1" ht="43.5" customHeight="1" x14ac:dyDescent="0.15">
      <c r="A1624" s="142" t="s">
        <v>2375</v>
      </c>
      <c r="B1624" s="142">
        <v>20</v>
      </c>
      <c r="C1624" s="143" t="s">
        <v>4126</v>
      </c>
      <c r="D1624" s="143">
        <v>1986</v>
      </c>
      <c r="E1624" s="144" t="s">
        <v>20</v>
      </c>
      <c r="F1624" s="143"/>
      <c r="G1624" s="143" t="s">
        <v>4133</v>
      </c>
      <c r="H1624" s="142" t="s">
        <v>250</v>
      </c>
      <c r="I1624" s="161" t="s">
        <v>4134</v>
      </c>
      <c r="J1624" s="142"/>
      <c r="K1624" s="142"/>
      <c r="L1624" s="142"/>
      <c r="M1624" s="142"/>
      <c r="N1624" s="12"/>
      <c r="O1624" s="12" t="e">
        <v>#VALUE!</v>
      </c>
      <c r="P1624" s="13" t="str">
        <f t="shared" si="26"/>
        <v/>
      </c>
      <c r="Q1624" s="158"/>
      <c r="R1624" s="142" t="s">
        <v>3422</v>
      </c>
    </row>
    <row r="1625" spans="1:18" s="139" customFormat="1" ht="28.5" customHeight="1" x14ac:dyDescent="0.15">
      <c r="A1625" s="142" t="s">
        <v>2375</v>
      </c>
      <c r="B1625" s="142">
        <v>20</v>
      </c>
      <c r="C1625" s="143" t="s">
        <v>4126</v>
      </c>
      <c r="D1625" s="143">
        <v>1986</v>
      </c>
      <c r="E1625" s="144" t="s">
        <v>20</v>
      </c>
      <c r="F1625" s="143"/>
      <c r="G1625" s="143" t="s">
        <v>4135</v>
      </c>
      <c r="H1625" s="142" t="s">
        <v>2771</v>
      </c>
      <c r="I1625" s="143" t="s">
        <v>1911</v>
      </c>
      <c r="J1625" s="142" t="s">
        <v>4136</v>
      </c>
      <c r="K1625" s="142"/>
      <c r="L1625" s="142"/>
      <c r="M1625" s="142"/>
      <c r="N1625" s="12" t="s">
        <v>3738</v>
      </c>
      <c r="O1625" s="12" t="s">
        <v>3739</v>
      </c>
      <c r="P1625" s="13" t="str">
        <f t="shared" si="26"/>
        <v>日本の歴史の中の亀山／現代の亀山／産業／商業／商店街</v>
      </c>
      <c r="Q1625" s="158"/>
      <c r="R1625" s="142" t="s">
        <v>3422</v>
      </c>
    </row>
    <row r="1626" spans="1:18" customFormat="1" ht="28.5" customHeight="1" x14ac:dyDescent="0.15">
      <c r="A1626" s="142" t="s">
        <v>2375</v>
      </c>
      <c r="B1626" s="142">
        <v>20</v>
      </c>
      <c r="C1626" s="143" t="s">
        <v>4126</v>
      </c>
      <c r="D1626" s="143">
        <v>1986</v>
      </c>
      <c r="E1626" s="144" t="s">
        <v>20</v>
      </c>
      <c r="F1626" s="245"/>
      <c r="G1626" s="120" t="s">
        <v>4137</v>
      </c>
      <c r="H1626" s="246" t="s">
        <v>1336</v>
      </c>
      <c r="I1626" s="246" t="s">
        <v>3315</v>
      </c>
      <c r="J1626" s="247" t="s">
        <v>4138</v>
      </c>
      <c r="K1626" s="247"/>
      <c r="L1626" s="248"/>
      <c r="M1626" s="248"/>
      <c r="N1626" s="12"/>
      <c r="O1626" s="12" t="e">
        <v>#VALUE!</v>
      </c>
      <c r="P1626" s="13" t="str">
        <f t="shared" si="26"/>
        <v/>
      </c>
      <c r="Q1626" s="194"/>
      <c r="R1626" s="244" t="s">
        <v>4089</v>
      </c>
    </row>
    <row r="1627" spans="1:18" customFormat="1" ht="50.25" customHeight="1" x14ac:dyDescent="0.15">
      <c r="A1627" s="145" t="s">
        <v>2375</v>
      </c>
      <c r="B1627" s="145">
        <v>20</v>
      </c>
      <c r="C1627" s="146" t="s">
        <v>4139</v>
      </c>
      <c r="D1627" s="146">
        <v>1986</v>
      </c>
      <c r="E1627" s="147" t="s">
        <v>34</v>
      </c>
      <c r="F1627" s="249"/>
      <c r="G1627" s="351" t="s">
        <v>4140</v>
      </c>
      <c r="H1627" s="250" t="s">
        <v>199</v>
      </c>
      <c r="I1627" s="251"/>
      <c r="J1627" s="88" t="s">
        <v>4005</v>
      </c>
      <c r="K1627" s="251"/>
      <c r="L1627" s="252"/>
      <c r="M1627" s="241" t="str">
        <f>HYPERLINK("http://kameyamarekihaku.jp/sisi/MinzokuHP/jirei/bunrui5/data5-1/gi.htm?pf=DSC07531-1.jpg&amp;pn=%E6%9D%B1%E3%81%AE%E8%BF%BD%E5%88%86","東の追分")</f>
        <v>東の追分</v>
      </c>
      <c r="N1627" s="34" t="s">
        <v>4006</v>
      </c>
      <c r="O1627" s="34" t="s">
        <v>4007</v>
      </c>
      <c r="P1627" s="35" t="str">
        <f t="shared" si="26"/>
        <v>亀山のいいとこさがし／景色のよいところや歴史を知る手掛かりとなるもの／関宿のまちなみ／新所のまちなみ／東追分</v>
      </c>
      <c r="Q1627" s="185"/>
      <c r="R1627" s="253" t="s">
        <v>4089</v>
      </c>
    </row>
    <row r="1628" spans="1:18" s="221" customFormat="1" ht="49.5" customHeight="1" x14ac:dyDescent="0.15">
      <c r="A1628" s="151"/>
      <c r="B1628" s="151"/>
      <c r="C1628" s="152"/>
      <c r="D1628" s="152"/>
      <c r="E1628" s="153"/>
      <c r="F1628" s="254"/>
      <c r="G1628" s="355"/>
      <c r="H1628" s="255"/>
      <c r="I1628" s="256"/>
      <c r="J1628" s="242"/>
      <c r="K1628" s="256"/>
      <c r="L1628" s="257"/>
      <c r="M1628" s="18" t="str">
        <f>HYPERLINK("http://kameyamarekihaku.jp/sisi/MinzokuHP/jirei/bunrui5/data5-1/gi.htm?pf=sinzyo-4-3.jpg&amp;pn=%E8%A5%BF%E3%81%AE%E8%BF%BD%E5%88%86%E3%81%AE%E8%B0%B7%E5%8F%A3%E6%B3%95%E6%82%A6%E9%A1%8C%E7%9B%AE%E5%A1%94%EF%BC%88%E9%96%A2%E7%94%BA%E6%96%B0%E6%89%80%EF%BC%89","西の追分の谷口法悦題目塔（関町新所）")</f>
        <v>西の追分の谷口法悦題目塔（関町新所）</v>
      </c>
      <c r="N1628" s="86" t="s">
        <v>4008</v>
      </c>
      <c r="O1628" s="86" t="s">
        <v>4009</v>
      </c>
      <c r="P1628" s="87" t="str">
        <f t="shared" si="26"/>
        <v>亀山のいいとこさがし／景色のよいところや歴史を知る手掛かりとなるもの／関宿のまちなみ／木崎のまちなみ／西追分</v>
      </c>
      <c r="Q1628" s="170"/>
      <c r="R1628" s="258"/>
    </row>
    <row r="1629" spans="1:18" customFormat="1" ht="15.75" customHeight="1" x14ac:dyDescent="0.15">
      <c r="A1629" s="145" t="s">
        <v>2375</v>
      </c>
      <c r="B1629" s="145">
        <v>20</v>
      </c>
      <c r="C1629" s="146" t="s">
        <v>4141</v>
      </c>
      <c r="D1629" s="146">
        <v>1986</v>
      </c>
      <c r="E1629" s="147" t="s">
        <v>20</v>
      </c>
      <c r="F1629" s="249"/>
      <c r="G1629" s="88" t="s">
        <v>4142</v>
      </c>
      <c r="H1629" s="250" t="s">
        <v>199</v>
      </c>
      <c r="I1629" s="251"/>
      <c r="J1629" s="241" t="str">
        <f>HYPERLINK("http://kameyamarekihaku.jp/sisi/tuusiHP_next/kochuusei/image/10/gi.htm?pf=1305sh187.JPG&amp;?pn=%20%E7%8F%BE%E5%9C%A8%E3%81%AE%E9%96%A2%E5%AE%BF%E5%86%85%E6%96%B0%E6%89%80%EF%BC%88%E9%96%A2%E7%94%BA%E6%96%B0%E6%89%80%EF%BC%89","関宿")</f>
        <v>関宿</v>
      </c>
      <c r="K1629" s="251"/>
      <c r="L1629" s="71"/>
      <c r="M1629" s="252"/>
      <c r="N1629" s="259" t="s">
        <v>3937</v>
      </c>
      <c r="O1629" s="260" t="s">
        <v>923</v>
      </c>
      <c r="P1629" s="261" t="str">
        <f t="shared" si="26"/>
        <v>むかしの道と交通／亀山の近世の道</v>
      </c>
      <c r="Q1629" s="241"/>
      <c r="R1629" s="253" t="s">
        <v>4089</v>
      </c>
    </row>
    <row r="1630" spans="1:18" customFormat="1" ht="33.75" customHeight="1" x14ac:dyDescent="0.15">
      <c r="A1630" s="136"/>
      <c r="B1630" s="136"/>
      <c r="C1630" s="137"/>
      <c r="D1630" s="137"/>
      <c r="E1630" s="138"/>
      <c r="F1630" s="262"/>
      <c r="G1630" s="90"/>
      <c r="H1630" s="263"/>
      <c r="I1630" s="264"/>
      <c r="J1630" s="40"/>
      <c r="K1630" s="264"/>
      <c r="L1630" s="76"/>
      <c r="M1630" s="265"/>
      <c r="N1630" s="266" t="s">
        <v>3939</v>
      </c>
      <c r="O1630" s="267" t="s">
        <v>1251</v>
      </c>
      <c r="P1630" s="268" t="str">
        <f t="shared" si="26"/>
        <v>亀山城と宿場／４つの宿場／東海道・伊勢街道・大和街道分岐の宿場 関宿</v>
      </c>
      <c r="Q1630" s="40"/>
      <c r="R1630" s="269"/>
    </row>
    <row r="1631" spans="1:18" customFormat="1" ht="45" customHeight="1" x14ac:dyDescent="0.15">
      <c r="A1631" s="151"/>
      <c r="B1631" s="151"/>
      <c r="C1631" s="152"/>
      <c r="D1631" s="152"/>
      <c r="E1631" s="153"/>
      <c r="F1631" s="254"/>
      <c r="G1631" s="91"/>
      <c r="H1631" s="255"/>
      <c r="I1631" s="256"/>
      <c r="J1631" s="242"/>
      <c r="K1631" s="256"/>
      <c r="L1631" s="102"/>
      <c r="M1631" s="257"/>
      <c r="N1631" s="128" t="s">
        <v>4143</v>
      </c>
      <c r="O1631" s="129" t="s">
        <v>3941</v>
      </c>
      <c r="P1631" s="130" t="str">
        <f t="shared" si="26"/>
        <v>亀山のいいとこさがし／景色のよいところや歴史を知る手掛かりとなるもの／関宿のまちなみ</v>
      </c>
      <c r="Q1631" s="242"/>
      <c r="R1631" s="258"/>
    </row>
    <row r="1632" spans="1:18" s="139" customFormat="1" ht="15" customHeight="1" x14ac:dyDescent="0.15">
      <c r="A1632" s="142" t="s">
        <v>2375</v>
      </c>
      <c r="B1632" s="142">
        <v>20</v>
      </c>
      <c r="C1632" s="143" t="s">
        <v>4144</v>
      </c>
      <c r="D1632" s="143">
        <v>1987</v>
      </c>
      <c r="E1632" s="144" t="s">
        <v>20</v>
      </c>
      <c r="F1632" s="143"/>
      <c r="G1632" s="143" t="s">
        <v>4145</v>
      </c>
      <c r="H1632" s="142" t="s">
        <v>250</v>
      </c>
      <c r="I1632" s="143" t="s">
        <v>4146</v>
      </c>
      <c r="J1632" s="120" t="s">
        <v>4147</v>
      </c>
      <c r="K1632" s="142"/>
      <c r="L1632" s="142"/>
      <c r="M1632" s="142"/>
      <c r="N1632" s="12"/>
      <c r="O1632" s="12" t="e">
        <v>#VALUE!</v>
      </c>
      <c r="P1632" s="13" t="str">
        <f t="shared" si="26"/>
        <v/>
      </c>
      <c r="Q1632" s="192"/>
      <c r="R1632" s="142" t="s">
        <v>3422</v>
      </c>
    </row>
    <row r="1633" spans="1:18" s="139" customFormat="1" ht="15" customHeight="1" x14ac:dyDescent="0.15">
      <c r="A1633" s="142" t="s">
        <v>2375</v>
      </c>
      <c r="B1633" s="142">
        <v>20</v>
      </c>
      <c r="C1633" s="143" t="s">
        <v>4144</v>
      </c>
      <c r="D1633" s="143">
        <v>1987</v>
      </c>
      <c r="E1633" s="144" t="s">
        <v>20</v>
      </c>
      <c r="F1633" s="143"/>
      <c r="G1633" s="143" t="s">
        <v>4148</v>
      </c>
      <c r="H1633" s="142" t="s">
        <v>3321</v>
      </c>
      <c r="I1633" s="143" t="s">
        <v>4149</v>
      </c>
      <c r="J1633" s="142" t="s">
        <v>4150</v>
      </c>
      <c r="K1633" s="142"/>
      <c r="L1633" s="142"/>
      <c r="M1633" s="142"/>
      <c r="N1633" s="12"/>
      <c r="O1633" s="12" t="e">
        <v>#VALUE!</v>
      </c>
      <c r="P1633" s="13" t="str">
        <f t="shared" si="26"/>
        <v/>
      </c>
      <c r="Q1633" s="158"/>
      <c r="R1633" s="142" t="s">
        <v>3422</v>
      </c>
    </row>
    <row r="1634" spans="1:18" s="139" customFormat="1" ht="34.5" customHeight="1" x14ac:dyDescent="0.15">
      <c r="A1634" s="145" t="s">
        <v>2375</v>
      </c>
      <c r="B1634" s="145">
        <v>20</v>
      </c>
      <c r="C1634" s="146" t="s">
        <v>4144</v>
      </c>
      <c r="D1634" s="146">
        <v>1987</v>
      </c>
      <c r="E1634" s="147" t="s">
        <v>20</v>
      </c>
      <c r="F1634" s="146"/>
      <c r="G1634" s="146" t="s">
        <v>4151</v>
      </c>
      <c r="H1634" s="145" t="s">
        <v>2771</v>
      </c>
      <c r="I1634" s="146" t="s">
        <v>1911</v>
      </c>
      <c r="J1634" s="145" t="s">
        <v>4136</v>
      </c>
      <c r="K1634" s="145"/>
      <c r="L1634" s="17" t="str">
        <f>HYPERLINK("http:/kameyamarekihaku.jp/sisi/tuusiHP_next/kingendai/image/09/gi.htm?pf=3088sh009-03.JPG&amp;?pn=%E6%9D%B1%E7%94%BA%E5%95%86%E5%BA%97%E8%A1%97%EF%BC%88%E6%98%AD%E5%92%8C62%E5%B9%B4%EF%BC%89","画像史料：横断幕を掲げる東町商店街")</f>
        <v>画像史料：横断幕を掲げる東町商店街</v>
      </c>
      <c r="N1634" s="23" t="s">
        <v>4152</v>
      </c>
      <c r="O1634" s="23" t="s">
        <v>3739</v>
      </c>
      <c r="P1634" s="24" t="str">
        <f t="shared" si="26"/>
        <v>日本の歴史の中の亀山／現代の亀山／産業／商業／商店街</v>
      </c>
      <c r="Q1634" s="10" t="str">
        <f>HYPERLINK("http:/kameyamarekihaku.jp/sisi/tuusiHP_next/tuusi-index.html#kingendai0903","市史通史編 近代・現代第9章第3節")</f>
        <v>市史通史編 近代・現代第9章第3節</v>
      </c>
      <c r="R1634" s="145" t="s">
        <v>4153</v>
      </c>
    </row>
    <row r="1635" spans="1:18" s="139" customFormat="1" ht="60" customHeight="1" x14ac:dyDescent="0.15">
      <c r="A1635" s="142" t="s">
        <v>2375</v>
      </c>
      <c r="B1635" s="142">
        <v>20</v>
      </c>
      <c r="C1635" s="143" t="s">
        <v>4144</v>
      </c>
      <c r="D1635" s="143">
        <v>1987</v>
      </c>
      <c r="E1635" s="144" t="s">
        <v>34</v>
      </c>
      <c r="F1635" s="143"/>
      <c r="G1635" s="143" t="s">
        <v>4154</v>
      </c>
      <c r="H1635" s="142" t="s">
        <v>464</v>
      </c>
      <c r="I1635" s="143" t="s">
        <v>4155</v>
      </c>
      <c r="J1635" s="82" t="str">
        <f>HYPERLINK("http://kameyamarekihaku.jp/sisi/koukoHP/archives/syoutiura/01/01-01/gi.html?pf=SETI01-14.JPG&amp;pn=%E6%AD%A3%E7%9F%A5%E6%B5%A6%E9%81%BA%E8%B7%A1%E7%AC%AC1%E6%AC%A1%E8%AA%BF%E6%9F%BB%E8%88%AA%E7%A9%BA%E5%86%99%E7%9C%9F","正知浦遺跡")</f>
        <v>正知浦遺跡</v>
      </c>
      <c r="K1635" s="142"/>
      <c r="L1635" s="142"/>
      <c r="M1635" s="142"/>
      <c r="N1635" s="29"/>
      <c r="O1635" s="29" t="e">
        <v>#VALUE!</v>
      </c>
      <c r="P1635" s="30" t="str">
        <f t="shared" si="26"/>
        <v/>
      </c>
      <c r="Q1635" s="10" t="str">
        <f>HYPERLINK("http:/kameyamarekihaku.jp/sisi/KoukoHP/iseki.html","市史考古編遺跡一覧N0.29")</f>
        <v>市史考古編遺跡一覧N0.29</v>
      </c>
      <c r="R1635" s="142" t="s">
        <v>4156</v>
      </c>
    </row>
    <row r="1636" spans="1:18" s="139" customFormat="1" ht="28.15" customHeight="1" x14ac:dyDescent="0.15">
      <c r="A1636" s="142" t="s">
        <v>2375</v>
      </c>
      <c r="B1636" s="142">
        <v>20</v>
      </c>
      <c r="C1636" s="143" t="s">
        <v>4157</v>
      </c>
      <c r="D1636" s="143">
        <v>1987</v>
      </c>
      <c r="E1636" s="144" t="s">
        <v>20</v>
      </c>
      <c r="F1636" s="143"/>
      <c r="G1636" s="143" t="s">
        <v>4158</v>
      </c>
      <c r="H1636" s="142"/>
      <c r="I1636" s="143"/>
      <c r="J1636" s="142"/>
      <c r="K1636" s="142"/>
      <c r="L1636" s="142"/>
      <c r="M1636" s="142"/>
      <c r="N1636" s="12"/>
      <c r="O1636" s="12" t="e">
        <v>#VALUE!</v>
      </c>
      <c r="P1636" s="13" t="str">
        <f t="shared" si="26"/>
        <v/>
      </c>
      <c r="Q1636" s="158"/>
      <c r="R1636" s="142" t="s">
        <v>3422</v>
      </c>
    </row>
    <row r="1637" spans="1:18" s="139" customFormat="1" ht="28.5" customHeight="1" x14ac:dyDescent="0.15">
      <c r="A1637" s="142" t="s">
        <v>2375</v>
      </c>
      <c r="B1637" s="142">
        <v>20</v>
      </c>
      <c r="C1637" s="143" t="s">
        <v>4157</v>
      </c>
      <c r="D1637" s="143">
        <v>1987</v>
      </c>
      <c r="E1637" s="144" t="s">
        <v>20</v>
      </c>
      <c r="F1637" s="143"/>
      <c r="G1637" s="143" t="s">
        <v>4159</v>
      </c>
      <c r="H1637" s="142"/>
      <c r="I1637" s="143"/>
      <c r="J1637" s="142"/>
      <c r="K1637" s="142"/>
      <c r="L1637" s="142"/>
      <c r="M1637" s="142"/>
      <c r="N1637" s="12"/>
      <c r="O1637" s="12" t="e">
        <v>#VALUE!</v>
      </c>
      <c r="P1637" s="13" t="str">
        <f t="shared" si="26"/>
        <v/>
      </c>
      <c r="Q1637" s="158"/>
      <c r="R1637" s="142" t="s">
        <v>3422</v>
      </c>
    </row>
    <row r="1638" spans="1:18" s="139" customFormat="1" ht="77.849999999999994" customHeight="1" x14ac:dyDescent="0.15">
      <c r="A1638" s="142" t="s">
        <v>2375</v>
      </c>
      <c r="B1638" s="142">
        <v>20</v>
      </c>
      <c r="C1638" s="143" t="s">
        <v>4157</v>
      </c>
      <c r="D1638" s="143">
        <v>1987</v>
      </c>
      <c r="E1638" s="144" t="s">
        <v>20</v>
      </c>
      <c r="F1638" s="143"/>
      <c r="G1638" s="143" t="s">
        <v>4160</v>
      </c>
      <c r="H1638" s="142" t="s">
        <v>464</v>
      </c>
      <c r="I1638" s="143" t="s">
        <v>4161</v>
      </c>
      <c r="J1638" s="142" t="s">
        <v>4162</v>
      </c>
      <c r="K1638" s="142"/>
      <c r="L1638" s="142"/>
      <c r="M1638" s="142"/>
      <c r="N1638" s="12" t="s">
        <v>4163</v>
      </c>
      <c r="O1638" s="12" t="s">
        <v>3899</v>
      </c>
      <c r="P1638" s="13" t="str">
        <f t="shared" si="26"/>
        <v>日本の歴史の中の亀山／現代の亀山／教育と医療・福祉／亀山市民会館と関町民会館</v>
      </c>
      <c r="Q1638" s="158"/>
      <c r="R1638" s="142" t="s">
        <v>4164</v>
      </c>
    </row>
    <row r="1639" spans="1:18" s="139" customFormat="1" ht="28.5" customHeight="1" x14ac:dyDescent="0.15">
      <c r="A1639" s="142" t="s">
        <v>2375</v>
      </c>
      <c r="B1639" s="142">
        <v>20</v>
      </c>
      <c r="C1639" s="143" t="s">
        <v>4157</v>
      </c>
      <c r="D1639" s="143">
        <v>1987</v>
      </c>
      <c r="E1639" s="144" t="s">
        <v>20</v>
      </c>
      <c r="F1639" s="143"/>
      <c r="G1639" s="143" t="s">
        <v>4165</v>
      </c>
      <c r="H1639" s="142" t="s">
        <v>2191</v>
      </c>
      <c r="I1639" s="143" t="s">
        <v>3643</v>
      </c>
      <c r="J1639" s="142" t="s">
        <v>4166</v>
      </c>
      <c r="K1639" s="142"/>
      <c r="L1639" s="142"/>
      <c r="M1639" s="142"/>
      <c r="N1639" s="12"/>
      <c r="O1639" s="12" t="e">
        <v>#VALUE!</v>
      </c>
      <c r="P1639" s="13" t="str">
        <f t="shared" si="26"/>
        <v/>
      </c>
      <c r="Q1639" s="158"/>
      <c r="R1639" s="142" t="s">
        <v>3422</v>
      </c>
    </row>
    <row r="1640" spans="1:18" s="139" customFormat="1" ht="28.5" customHeight="1" x14ac:dyDescent="0.15">
      <c r="A1640" s="145" t="s">
        <v>2375</v>
      </c>
      <c r="B1640" s="145">
        <v>20</v>
      </c>
      <c r="C1640" s="146" t="s">
        <v>4157</v>
      </c>
      <c r="D1640" s="146">
        <v>1987</v>
      </c>
      <c r="E1640" s="147" t="s">
        <v>34</v>
      </c>
      <c r="F1640" s="146"/>
      <c r="G1640" s="146" t="s">
        <v>4167</v>
      </c>
      <c r="H1640" s="145" t="s">
        <v>464</v>
      </c>
      <c r="I1640" s="146" t="s">
        <v>4168</v>
      </c>
      <c r="J1640" s="71" t="str">
        <f>HYPERLINK("http://kameyamarekihaku.jp/sisi/tuusiHP_next/kinsei/image/01/gi.htm?pf=2001sh001.JPG&amp;?pn=%20%E4%BA%80%E5%B1%B1%E5%9F%8E%E6%9C%AC%E4%B8%B8%E7%9F%B3%E5%9E%A3%E3%81%A8%E5%A4%9A%E9%96%80%E6%AB%93","亀山城多門櫓")</f>
        <v>亀山城多門櫓</v>
      </c>
      <c r="K1640" s="145"/>
      <c r="L1640" s="145"/>
      <c r="M1640" s="145"/>
      <c r="N1640" s="74" t="s">
        <v>4169</v>
      </c>
      <c r="O1640" s="32" t="s">
        <v>2070</v>
      </c>
      <c r="P1640" s="33" t="str">
        <f t="shared" si="26"/>
        <v>亀山城と宿場／亀山城のつくり／櫓／多門櫓</v>
      </c>
      <c r="Q1640" s="71" t="str">
        <f>HYPERLINK("http://www.kameyamarekihaku.jp/sisi/seckam3/chizushiro.php","市史考古分野(各コンテンツ)「亀山城跡を歩く」")</f>
        <v>市史考古分野(各コンテンツ)「亀山城跡を歩く」</v>
      </c>
      <c r="R1640" s="145" t="s">
        <v>3422</v>
      </c>
    </row>
    <row r="1641" spans="1:18" s="139" customFormat="1" ht="28.5" customHeight="1" x14ac:dyDescent="0.15">
      <c r="A1641" s="151"/>
      <c r="B1641" s="151"/>
      <c r="C1641" s="152"/>
      <c r="D1641" s="152"/>
      <c r="E1641" s="153"/>
      <c r="F1641" s="152"/>
      <c r="G1641" s="152"/>
      <c r="H1641" s="151"/>
      <c r="I1641" s="152"/>
      <c r="J1641" s="102"/>
      <c r="K1641" s="151"/>
      <c r="L1641" s="151"/>
      <c r="M1641" s="151"/>
      <c r="N1641" s="53" t="s">
        <v>4170</v>
      </c>
      <c r="O1641" s="29" t="s">
        <v>774</v>
      </c>
      <c r="P1641" s="30" t="str">
        <f t="shared" si="26"/>
        <v>亀山のいいとこさがし／建物</v>
      </c>
      <c r="Q1641" s="102"/>
      <c r="R1641" s="151"/>
    </row>
    <row r="1642" spans="1:18" s="139" customFormat="1" ht="28.5" customHeight="1" x14ac:dyDescent="0.15">
      <c r="A1642" s="142" t="s">
        <v>2375</v>
      </c>
      <c r="B1642" s="142">
        <v>20</v>
      </c>
      <c r="C1642" s="143" t="s">
        <v>4171</v>
      </c>
      <c r="D1642" s="143">
        <v>1987</v>
      </c>
      <c r="E1642" s="144" t="s">
        <v>20</v>
      </c>
      <c r="F1642" s="143"/>
      <c r="G1642" s="143" t="s">
        <v>4172</v>
      </c>
      <c r="H1642" s="142"/>
      <c r="I1642" s="143"/>
      <c r="J1642" s="142"/>
      <c r="K1642" s="142"/>
      <c r="L1642" s="142"/>
      <c r="M1642" s="142"/>
      <c r="N1642" s="12"/>
      <c r="O1642" s="12" t="e">
        <v>#VALUE!</v>
      </c>
      <c r="P1642" s="13" t="str">
        <f t="shared" si="26"/>
        <v/>
      </c>
      <c r="Q1642" s="158"/>
      <c r="R1642" s="142" t="s">
        <v>3422</v>
      </c>
    </row>
    <row r="1643" spans="1:18" s="139" customFormat="1" ht="28.5" customHeight="1" x14ac:dyDescent="0.15">
      <c r="A1643" s="142" t="s">
        <v>2375</v>
      </c>
      <c r="B1643" s="142">
        <v>20</v>
      </c>
      <c r="C1643" s="143" t="s">
        <v>4173</v>
      </c>
      <c r="D1643" s="143">
        <v>1988</v>
      </c>
      <c r="E1643" s="144" t="s">
        <v>34</v>
      </c>
      <c r="F1643" s="143"/>
      <c r="G1643" s="143" t="s">
        <v>4174</v>
      </c>
      <c r="H1643" s="142" t="s">
        <v>464</v>
      </c>
      <c r="I1643" s="175" t="s">
        <v>1833</v>
      </c>
      <c r="J1643" s="142" t="s">
        <v>4175</v>
      </c>
      <c r="K1643" s="142"/>
      <c r="L1643" s="142"/>
      <c r="M1643" s="142"/>
      <c r="N1643" s="12"/>
      <c r="O1643" s="12" t="e">
        <v>#VALUE!</v>
      </c>
      <c r="P1643" s="13" t="str">
        <f t="shared" si="26"/>
        <v/>
      </c>
      <c r="Q1643" s="158"/>
      <c r="R1643" s="142" t="s">
        <v>4176</v>
      </c>
    </row>
    <row r="1644" spans="1:18" s="139" customFormat="1" ht="40.5" x14ac:dyDescent="0.15">
      <c r="A1644" s="142" t="s">
        <v>2375</v>
      </c>
      <c r="B1644" s="142">
        <v>20</v>
      </c>
      <c r="C1644" s="143" t="s">
        <v>4173</v>
      </c>
      <c r="D1644" s="143">
        <v>1988</v>
      </c>
      <c r="E1644" s="144" t="s">
        <v>20</v>
      </c>
      <c r="F1644" s="143"/>
      <c r="G1644" s="143" t="s">
        <v>4177</v>
      </c>
      <c r="H1644" s="142" t="s">
        <v>250</v>
      </c>
      <c r="I1644" s="161" t="s">
        <v>4178</v>
      </c>
      <c r="J1644" s="142"/>
      <c r="K1644" s="142"/>
      <c r="L1644" s="142"/>
      <c r="M1644" s="142"/>
      <c r="N1644" s="74"/>
      <c r="O1644" s="32" t="e">
        <v>#VALUE!</v>
      </c>
      <c r="P1644" s="33" t="str">
        <f t="shared" si="26"/>
        <v/>
      </c>
      <c r="Q1644" s="71"/>
      <c r="R1644" s="142" t="s">
        <v>3422</v>
      </c>
    </row>
    <row r="1645" spans="1:18" s="139" customFormat="1" ht="29.1" customHeight="1" x14ac:dyDescent="0.15">
      <c r="A1645" s="142" t="s">
        <v>2375</v>
      </c>
      <c r="B1645" s="142">
        <v>20</v>
      </c>
      <c r="C1645" s="143" t="s">
        <v>4173</v>
      </c>
      <c r="D1645" s="143">
        <v>1988</v>
      </c>
      <c r="E1645" s="144" t="s">
        <v>34</v>
      </c>
      <c r="F1645" s="143"/>
      <c r="G1645" s="143" t="s">
        <v>4179</v>
      </c>
      <c r="H1645" s="142"/>
      <c r="I1645" s="143"/>
      <c r="J1645" s="142"/>
      <c r="K1645" s="142"/>
      <c r="L1645" s="142"/>
      <c r="M1645" s="142"/>
      <c r="N1645" s="81"/>
      <c r="O1645" s="23" t="e">
        <v>#VALUE!</v>
      </c>
      <c r="P1645" s="24" t="str">
        <f t="shared" si="26"/>
        <v/>
      </c>
      <c r="Q1645" s="82"/>
      <c r="R1645" s="142" t="s">
        <v>4180</v>
      </c>
    </row>
    <row r="1646" spans="1:18" s="139" customFormat="1" ht="28.5" customHeight="1" x14ac:dyDescent="0.15">
      <c r="A1646" s="142" t="s">
        <v>2375</v>
      </c>
      <c r="B1646" s="142">
        <v>20</v>
      </c>
      <c r="C1646" s="143" t="s">
        <v>4173</v>
      </c>
      <c r="D1646" s="143">
        <v>1988</v>
      </c>
      <c r="E1646" s="144" t="s">
        <v>20</v>
      </c>
      <c r="F1646" s="143"/>
      <c r="G1646" s="161" t="s">
        <v>4181</v>
      </c>
      <c r="H1646" s="142" t="s">
        <v>250</v>
      </c>
      <c r="I1646" s="143" t="s">
        <v>2247</v>
      </c>
      <c r="J1646" s="142" t="s">
        <v>4182</v>
      </c>
      <c r="K1646" s="142"/>
      <c r="L1646" s="142"/>
      <c r="M1646" s="142"/>
      <c r="N1646" s="12"/>
      <c r="O1646" s="12" t="e">
        <v>#VALUE!</v>
      </c>
      <c r="P1646" s="13" t="str">
        <f t="shared" si="26"/>
        <v/>
      </c>
      <c r="Q1646" s="158"/>
      <c r="R1646" s="142" t="s">
        <v>3422</v>
      </c>
    </row>
    <row r="1647" spans="1:18" s="139" customFormat="1" ht="28.5" customHeight="1" x14ac:dyDescent="0.15">
      <c r="A1647" s="142" t="s">
        <v>2375</v>
      </c>
      <c r="B1647" s="142">
        <v>20</v>
      </c>
      <c r="C1647" s="143" t="s">
        <v>4173</v>
      </c>
      <c r="D1647" s="143">
        <v>1988</v>
      </c>
      <c r="E1647" s="144" t="s">
        <v>20</v>
      </c>
      <c r="F1647" s="143"/>
      <c r="G1647" s="143" t="s">
        <v>4183</v>
      </c>
      <c r="H1647" s="120" t="s">
        <v>3321</v>
      </c>
      <c r="I1647" s="175" t="s">
        <v>3683</v>
      </c>
      <c r="J1647" s="142" t="s">
        <v>4184</v>
      </c>
      <c r="K1647" s="142"/>
      <c r="L1647" s="142"/>
      <c r="M1647" s="142"/>
      <c r="N1647" s="12"/>
      <c r="O1647" s="12" t="e">
        <v>#VALUE!</v>
      </c>
      <c r="P1647" s="13" t="str">
        <f t="shared" si="26"/>
        <v/>
      </c>
      <c r="Q1647" s="158"/>
      <c r="R1647" s="142" t="s">
        <v>3422</v>
      </c>
    </row>
    <row r="1648" spans="1:18" s="139" customFormat="1" ht="28.5" customHeight="1" x14ac:dyDescent="0.15">
      <c r="A1648" s="142" t="s">
        <v>2375</v>
      </c>
      <c r="B1648" s="142">
        <v>20</v>
      </c>
      <c r="C1648" s="143" t="s">
        <v>4173</v>
      </c>
      <c r="D1648" s="143">
        <v>1988</v>
      </c>
      <c r="E1648" s="144" t="s">
        <v>20</v>
      </c>
      <c r="F1648" s="143"/>
      <c r="G1648" s="143" t="s">
        <v>4185</v>
      </c>
      <c r="H1648" s="142" t="s">
        <v>2160</v>
      </c>
      <c r="I1648" s="175" t="s">
        <v>4186</v>
      </c>
      <c r="J1648" s="142" t="s">
        <v>4187</v>
      </c>
      <c r="K1648" s="142"/>
      <c r="L1648" s="142"/>
      <c r="M1648" s="142"/>
      <c r="N1648" s="12"/>
      <c r="O1648" s="12" t="e">
        <v>#VALUE!</v>
      </c>
      <c r="P1648" s="13" t="str">
        <f t="shared" si="26"/>
        <v/>
      </c>
      <c r="Q1648" s="158"/>
      <c r="R1648" s="142" t="s">
        <v>3422</v>
      </c>
    </row>
    <row r="1649" spans="1:18" s="139" customFormat="1" ht="43.5" customHeight="1" x14ac:dyDescent="0.15">
      <c r="A1649" s="142" t="s">
        <v>2375</v>
      </c>
      <c r="B1649" s="142">
        <v>20</v>
      </c>
      <c r="C1649" s="143" t="s">
        <v>4173</v>
      </c>
      <c r="D1649" s="143">
        <v>1988</v>
      </c>
      <c r="E1649" s="144" t="s">
        <v>20</v>
      </c>
      <c r="F1649" s="143"/>
      <c r="G1649" s="143" t="s">
        <v>4188</v>
      </c>
      <c r="H1649" s="120" t="s">
        <v>250</v>
      </c>
      <c r="I1649" s="175" t="s">
        <v>3148</v>
      </c>
      <c r="J1649" s="142" t="s">
        <v>4189</v>
      </c>
      <c r="K1649" s="142"/>
      <c r="L1649" s="142"/>
      <c r="M1649" s="142"/>
      <c r="N1649" s="12"/>
      <c r="O1649" s="12" t="e">
        <v>#VALUE!</v>
      </c>
      <c r="P1649" s="13" t="str">
        <f t="shared" si="26"/>
        <v/>
      </c>
      <c r="Q1649" s="158"/>
      <c r="R1649" s="142" t="s">
        <v>3422</v>
      </c>
    </row>
    <row r="1650" spans="1:18" s="139" customFormat="1" ht="43.5" customHeight="1" x14ac:dyDescent="0.15">
      <c r="A1650" s="142" t="s">
        <v>2375</v>
      </c>
      <c r="B1650" s="142">
        <v>20</v>
      </c>
      <c r="C1650" s="143" t="s">
        <v>4173</v>
      </c>
      <c r="D1650" s="143">
        <v>1988</v>
      </c>
      <c r="E1650" s="144" t="s">
        <v>20</v>
      </c>
      <c r="F1650" s="143"/>
      <c r="G1650" s="143" t="s">
        <v>4190</v>
      </c>
      <c r="H1650" s="142" t="s">
        <v>250</v>
      </c>
      <c r="I1650" s="143" t="s">
        <v>4191</v>
      </c>
      <c r="J1650" s="142" t="s">
        <v>4192</v>
      </c>
      <c r="K1650" s="142"/>
      <c r="L1650" s="142"/>
      <c r="M1650" s="142"/>
      <c r="N1650" s="12"/>
      <c r="O1650" s="12" t="e">
        <v>#VALUE!</v>
      </c>
      <c r="P1650" s="13" t="str">
        <f t="shared" si="26"/>
        <v/>
      </c>
      <c r="Q1650" s="158"/>
      <c r="R1650" s="142" t="s">
        <v>3422</v>
      </c>
    </row>
    <row r="1651" spans="1:18" s="139" customFormat="1" ht="28.5" customHeight="1" x14ac:dyDescent="0.15">
      <c r="A1651" s="142" t="s">
        <v>2375</v>
      </c>
      <c r="B1651" s="142">
        <v>20</v>
      </c>
      <c r="C1651" s="143" t="s">
        <v>4173</v>
      </c>
      <c r="D1651" s="143">
        <v>1988</v>
      </c>
      <c r="E1651" s="144" t="s">
        <v>20</v>
      </c>
      <c r="F1651" s="143"/>
      <c r="G1651" s="143" t="s">
        <v>4193</v>
      </c>
      <c r="H1651" s="142" t="s">
        <v>464</v>
      </c>
      <c r="I1651" s="143" t="s">
        <v>4194</v>
      </c>
      <c r="J1651" s="142" t="s">
        <v>4195</v>
      </c>
      <c r="K1651" s="142"/>
      <c r="L1651" s="142"/>
      <c r="M1651" s="142"/>
      <c r="N1651" s="12"/>
      <c r="O1651" s="12" t="e">
        <v>#VALUE!</v>
      </c>
      <c r="P1651" s="13" t="str">
        <f t="shared" si="26"/>
        <v/>
      </c>
      <c r="Q1651" s="158"/>
      <c r="R1651" s="142" t="s">
        <v>3422</v>
      </c>
    </row>
    <row r="1652" spans="1:18" s="139" customFormat="1" ht="34.5" customHeight="1" x14ac:dyDescent="0.15">
      <c r="A1652" s="145" t="s">
        <v>2375</v>
      </c>
      <c r="B1652" s="145">
        <v>20</v>
      </c>
      <c r="C1652" s="146" t="s">
        <v>4173</v>
      </c>
      <c r="D1652" s="146">
        <v>1988</v>
      </c>
      <c r="E1652" s="147" t="s">
        <v>34</v>
      </c>
      <c r="F1652" s="146"/>
      <c r="G1652" s="146" t="s">
        <v>4196</v>
      </c>
      <c r="H1652" s="145" t="s">
        <v>464</v>
      </c>
      <c r="I1652" s="146" t="s">
        <v>4197</v>
      </c>
      <c r="J1652" s="145" t="s">
        <v>4198</v>
      </c>
      <c r="K1652" s="145"/>
      <c r="L1652" s="71" t="str">
        <f>HYPERLINK("http://kameyamarekihaku.jp/sisi/koukoHP/archives/kamejyoufurusya/01/01-02/gi.html?pf=KJFRUS0102-02-002.jpg&amp;pn=%E5%8A%A0%E8%97%A4%E5%AE%B6%E9%95%B7%E5%B1%8B%E9%96%80%EF%BC%88%E6%98%AD%E5%92%8C50%E5%B9%B4%E4%BB%A3%E5%89%8D%E5%8D%8A%EF%BC%89","画像史料：長屋門（修復前）")</f>
        <v>画像史料：長屋門（修復前）</v>
      </c>
      <c r="M1652" s="270" t="str">
        <f>HYPERLINK("http:/kameyamarekihaku.jp/sisi/koukoHP/archives/kamejyougennjyo/01/01-03/gi.html?pf=KJGNJY0103-03-008.JPG&amp;pn=%E8%A5%BF%E4%B9%8B%E4%B8%B8%E5%8A%A0%E8%97%A4%E5%AE%B6%E5%B1%8B%E6%95%B7","加藤屋敷跡")</f>
        <v>加藤屋敷跡</v>
      </c>
      <c r="N1652" s="111" t="s">
        <v>4199</v>
      </c>
      <c r="O1652" s="34" t="s">
        <v>4200</v>
      </c>
      <c r="P1652" s="35" t="str">
        <f t="shared" si="26"/>
        <v>亀山城と宿場／亀山城のつくり／家臣の住むところ</v>
      </c>
      <c r="Q1652" s="145"/>
      <c r="R1652" s="145" t="s">
        <v>4201</v>
      </c>
    </row>
    <row r="1653" spans="1:18" s="139" customFormat="1" ht="20.25" customHeight="1" x14ac:dyDescent="0.15">
      <c r="A1653" s="151"/>
      <c r="B1653" s="151"/>
      <c r="C1653" s="152"/>
      <c r="D1653" s="152"/>
      <c r="E1653" s="153"/>
      <c r="F1653" s="152"/>
      <c r="G1653" s="152"/>
      <c r="H1653" s="151"/>
      <c r="I1653" s="152"/>
      <c r="J1653" s="151"/>
      <c r="K1653" s="151"/>
      <c r="L1653" s="102"/>
      <c r="M1653" s="271"/>
      <c r="N1653" s="125" t="s">
        <v>4202</v>
      </c>
      <c r="O1653" s="86" t="s">
        <v>774</v>
      </c>
      <c r="P1653" s="87" t="str">
        <f t="shared" si="26"/>
        <v>亀山のいいとこさがし／建物</v>
      </c>
      <c r="Q1653" s="151"/>
      <c r="R1653" s="151"/>
    </row>
    <row r="1654" spans="1:18" s="139" customFormat="1" ht="15" customHeight="1" x14ac:dyDescent="0.15">
      <c r="A1654" s="142" t="s">
        <v>2375</v>
      </c>
      <c r="B1654" s="142">
        <v>20</v>
      </c>
      <c r="C1654" s="143" t="s">
        <v>4203</v>
      </c>
      <c r="D1654" s="143">
        <v>1988</v>
      </c>
      <c r="E1654" s="144" t="s">
        <v>20</v>
      </c>
      <c r="F1654" s="143"/>
      <c r="G1654" s="143" t="s">
        <v>4204</v>
      </c>
      <c r="H1654" s="142" t="s">
        <v>122</v>
      </c>
      <c r="I1654" s="143" t="s">
        <v>4205</v>
      </c>
      <c r="J1654" s="142" t="s">
        <v>4206</v>
      </c>
      <c r="K1654" s="142"/>
      <c r="L1654" s="142"/>
      <c r="M1654" s="142"/>
      <c r="N1654" s="12"/>
      <c r="O1654" s="12" t="e">
        <v>#VALUE!</v>
      </c>
      <c r="P1654" s="13" t="str">
        <f t="shared" si="26"/>
        <v/>
      </c>
      <c r="Q1654" s="158"/>
      <c r="R1654" s="142" t="s">
        <v>3422</v>
      </c>
    </row>
    <row r="1655" spans="1:18" s="139" customFormat="1" ht="28.5" customHeight="1" x14ac:dyDescent="0.15">
      <c r="A1655" s="145" t="s">
        <v>2375</v>
      </c>
      <c r="B1655" s="145">
        <v>20</v>
      </c>
      <c r="C1655" s="146" t="s">
        <v>4203</v>
      </c>
      <c r="D1655" s="146">
        <v>1988</v>
      </c>
      <c r="E1655" s="147" t="s">
        <v>34</v>
      </c>
      <c r="F1655" s="146"/>
      <c r="G1655" s="146" t="s">
        <v>4207</v>
      </c>
      <c r="H1655" s="145" t="s">
        <v>3182</v>
      </c>
      <c r="I1655" s="146" t="s">
        <v>2409</v>
      </c>
      <c r="J1655" s="71" t="str">
        <f>HYPERLINK("http://kameyamarekihaku.jp/sisi/KoukoHP/archives/kouodou/01/01-01/gi.html?pf=KOU0101-01-003.JPG&amp;pn=%E5%85%89%E6%96%BC%E5%A0%82%E9%81%BA%E8%B7%A1%E8%AA%BF%E6%9F%BB%E5%89%8D%E7%8A%B6%E6%B3%81%20","光於堂遺跡")</f>
        <v>光於堂遺跡</v>
      </c>
      <c r="K1655" s="145"/>
      <c r="L1655" s="71" t="str">
        <f>HYPERLINK("http://kameyamarekihaku.jp/sisi/KoukoHP/archives/kouodou/01/01-02/gi.html?pf=KOU0102-02-014.JPG&amp;pn=%E5%87%BA%E5%9C%9F%E7%B7%91%E9%87%89%E9%99%B6%E5%99%A8%E6%B0%B4%E6%B3%A8%E7%89%87","光於堂遺跡出土品（緑釉陶器水注片）")</f>
        <v>光於堂遺跡出土品（緑釉陶器水注片）</v>
      </c>
      <c r="M1655" s="145"/>
      <c r="N1655" s="32"/>
      <c r="O1655" s="32" t="e">
        <v>#VALUE!</v>
      </c>
      <c r="P1655" s="33" t="str">
        <f t="shared" si="26"/>
        <v/>
      </c>
      <c r="Q1655" s="17" t="str">
        <f>HYPERLINK("http:/kameyamarekihaku.jp/sisi/KoukoHP/iseki.html","市史考古編遺跡一覧N0.45")</f>
        <v>市史考古編遺跡一覧N0.45</v>
      </c>
      <c r="R1655" s="145" t="s">
        <v>4208</v>
      </c>
    </row>
    <row r="1656" spans="1:18" s="139" customFormat="1" ht="41.25" customHeight="1" x14ac:dyDescent="0.15">
      <c r="A1656" s="151"/>
      <c r="B1656" s="151"/>
      <c r="C1656" s="152"/>
      <c r="D1656" s="152"/>
      <c r="E1656" s="153"/>
      <c r="F1656" s="152"/>
      <c r="G1656" s="152"/>
      <c r="H1656" s="151"/>
      <c r="I1656" s="152"/>
      <c r="J1656" s="102"/>
      <c r="K1656" s="151"/>
      <c r="L1656" s="102"/>
      <c r="M1656" s="151"/>
      <c r="N1656" s="29"/>
      <c r="O1656" s="29" t="e">
        <v>#VALUE!</v>
      </c>
      <c r="P1656" s="30" t="str">
        <f t="shared" si="26"/>
        <v/>
      </c>
      <c r="Q1656" s="31" t="str">
        <f>HYPERLINK("http://kameyamarekihaku.jp/raikan_demae/130607_hiruo.html","昼生小6年出前授業実践例「昼生の歴史の探し方」")</f>
        <v>昼生小6年出前授業実践例「昼生の歴史の探し方」</v>
      </c>
      <c r="R1656" s="151"/>
    </row>
    <row r="1657" spans="1:18" s="139" customFormat="1" ht="28.5" customHeight="1" x14ac:dyDescent="0.15">
      <c r="A1657" s="142" t="s">
        <v>2375</v>
      </c>
      <c r="B1657" s="142">
        <v>20</v>
      </c>
      <c r="C1657" s="143" t="s">
        <v>4209</v>
      </c>
      <c r="D1657" s="143">
        <v>1988</v>
      </c>
      <c r="E1657" s="144" t="s">
        <v>20</v>
      </c>
      <c r="F1657" s="143"/>
      <c r="G1657" s="143" t="s">
        <v>4210</v>
      </c>
      <c r="H1657" s="142"/>
      <c r="I1657" s="143"/>
      <c r="J1657" s="142"/>
      <c r="K1657" s="142"/>
      <c r="L1657" s="142"/>
      <c r="M1657" s="142"/>
      <c r="N1657" s="12"/>
      <c r="O1657" s="12" t="e">
        <v>#VALUE!</v>
      </c>
      <c r="P1657" s="13" t="str">
        <f t="shared" si="26"/>
        <v/>
      </c>
      <c r="Q1657" s="158"/>
      <c r="R1657" s="142" t="s">
        <v>3422</v>
      </c>
    </row>
    <row r="1658" spans="1:18" s="139" customFormat="1" ht="42.6" customHeight="1" x14ac:dyDescent="0.15">
      <c r="A1658" s="142" t="s">
        <v>2375</v>
      </c>
      <c r="B1658" s="142">
        <v>20</v>
      </c>
      <c r="C1658" s="143" t="s">
        <v>4209</v>
      </c>
      <c r="D1658" s="143">
        <v>1988</v>
      </c>
      <c r="E1658" s="144" t="s">
        <v>20</v>
      </c>
      <c r="F1658" s="143"/>
      <c r="G1658" s="143" t="s">
        <v>4211</v>
      </c>
      <c r="H1658" s="142"/>
      <c r="I1658" s="143"/>
      <c r="J1658" s="142"/>
      <c r="K1658" s="142"/>
      <c r="L1658" s="142"/>
      <c r="M1658" s="142"/>
      <c r="N1658" s="12"/>
      <c r="O1658" s="12" t="e">
        <v>#VALUE!</v>
      </c>
      <c r="P1658" s="13" t="str">
        <f t="shared" si="26"/>
        <v/>
      </c>
      <c r="Q1658" s="158"/>
      <c r="R1658" s="142" t="s">
        <v>3422</v>
      </c>
    </row>
    <row r="1659" spans="1:18" s="139" customFormat="1" ht="29.25" customHeight="1" x14ac:dyDescent="0.15">
      <c r="A1659" s="145" t="s">
        <v>2375</v>
      </c>
      <c r="B1659" s="145">
        <v>20</v>
      </c>
      <c r="C1659" s="146" t="s">
        <v>4209</v>
      </c>
      <c r="D1659" s="146">
        <v>1988</v>
      </c>
      <c r="E1659" s="147" t="s">
        <v>34</v>
      </c>
      <c r="F1659" s="146"/>
      <c r="G1659" s="345" t="s">
        <v>4212</v>
      </c>
      <c r="H1659" s="145" t="s">
        <v>250</v>
      </c>
      <c r="I1659" s="146" t="s">
        <v>2980</v>
      </c>
      <c r="J1659" s="71" t="str">
        <f>HYPERLINK("http://kameyamarekihaku.jp/sisi/koukoHP/archives/sibato1/02/02-01/gi.html?pf=SS0201-1048.JPG&amp;pn=%E6%9F%B4%E6%88%B8%E9%81%BA%E8%B7%A1%E7%AC%AC1%E6%AC%A1%E7%99%BA%E6%8E%98%E8%AA%BF%E6%9F%BB%E6%9F%B4%E6%88%B8%E5%8F%A4%E5%A2%B3%E5%85%A8%E6%99%AF","柴戸遺跡")</f>
        <v>柴戸遺跡</v>
      </c>
      <c r="K1659" s="145"/>
      <c r="L1659" s="71" t="str">
        <f>HYPERLINK("http://kameyamarekihaku.jp/sisi/koukoHP/archives/sibato1/10/10-02/gi.html?pf=SS1002-1465.JPG&amp;pn=%E7%AC%AC1%E6%AC%A1%E7%99%BA%E6%8E%98%E8%AA%BF%E6%9F%BB%E4%BD%8F%E5%B1%85%EF%BC%98%E9%81%BA%E7%89%A9%E5%AE%9F%E6%B8%AC%E7%8A%B6%E6%B3%81","画像史料：柴戸遺跡（東野公園遺跡群）発掘状況")</f>
        <v>画像史料：柴戸遺跡（東野公園遺跡群）発掘状況</v>
      </c>
      <c r="M1659" s="145"/>
      <c r="N1659" s="310" t="s">
        <v>4213</v>
      </c>
      <c r="O1659" s="310" t="s">
        <v>126</v>
      </c>
      <c r="P1659" s="311" t="str">
        <f t="shared" si="26"/>
        <v>日本の歴史の中の亀山／古代の亀山／亀山のあけぼの／大王の時代と亀山の古墳／亀山の古墳／さまざまな古墳（１）</v>
      </c>
      <c r="Q1659" s="17" t="str">
        <f>HYPERLINK("http:/kameyamarekihaku.jp/sisi/koukoHP/archives/koukodb06.html","亀山市遺跡アーカイブス　栄町・和田町・川合町柴戸遺跡発掘調査")</f>
        <v>亀山市遺跡アーカイブス　栄町・和田町・川合町柴戸遺跡発掘調査</v>
      </c>
      <c r="R1659" s="347" t="s">
        <v>4214</v>
      </c>
    </row>
    <row r="1660" spans="1:18" s="139" customFormat="1" ht="32.25" customHeight="1" x14ac:dyDescent="0.15">
      <c r="A1660" s="136"/>
      <c r="B1660" s="136"/>
      <c r="C1660" s="137"/>
      <c r="D1660" s="137"/>
      <c r="E1660" s="138"/>
      <c r="F1660" s="137"/>
      <c r="G1660" s="346"/>
      <c r="H1660" s="136"/>
      <c r="I1660" s="137"/>
      <c r="J1660" s="76"/>
      <c r="K1660" s="136"/>
      <c r="L1660" s="76" t="str">
        <f>HYPERLINK("http://kameyamarekihaku.jp/sisi/koukoHP/archives/sibato1/08/08-01/gi.html?pf=SS0801-1372.JPG&amp;pn=%E7%AC%AC1%E6%AC%A1%E7%99%BA%E6%8E%98%E8%AA%BF%E6%9F%BB%E4%BD%8F%E5%B1%85%EF%BC%98%E9%81%BA%E7%89%A9%E5%87%BA%E5%9C%9F%E7%8A%B6%E6%B3%81","画像史料：柴戸遺跡（東野公園遺跡群）出土品")</f>
        <v>画像史料：柴戸遺跡（東野公園遺跡群）出土品</v>
      </c>
      <c r="M1660" s="136"/>
      <c r="N1660" s="317"/>
      <c r="O1660" s="317" t="e">
        <v>#VALUE!</v>
      </c>
      <c r="P1660" s="318" t="str">
        <f t="shared" si="26"/>
        <v/>
      </c>
      <c r="Q1660" s="21"/>
      <c r="R1660" s="332"/>
    </row>
    <row r="1661" spans="1:18" s="139" customFormat="1" ht="77.25" customHeight="1" x14ac:dyDescent="0.15">
      <c r="A1661" s="151"/>
      <c r="B1661" s="151"/>
      <c r="C1661" s="152"/>
      <c r="D1661" s="152"/>
      <c r="E1661" s="153"/>
      <c r="F1661" s="152"/>
      <c r="G1661" s="353"/>
      <c r="H1661" s="151"/>
      <c r="I1661" s="152"/>
      <c r="J1661" s="102"/>
      <c r="K1661" s="151"/>
      <c r="L1661" s="76" t="str">
        <f>HYPERLINK("http://kameyamarekihaku.jp/sisi/koukoHP/archives/sibato3/01/01-03/gi.html?pf=SBT30103-03-030.JPG&amp;pn=%E5%91%A8%E6%BA%9D%E5%A4%96%E5%9C%9F%E5%9D%91%E5%A2%93%E9%89%84%E5%88%80%20","画像史料：柴戸遺跡（東野公園遺跡群）出土品")</f>
        <v>画像史料：柴戸遺跡（東野公園遺跡群）出土品</v>
      </c>
      <c r="M1661" s="151"/>
      <c r="N1661" s="29" t="s">
        <v>166</v>
      </c>
      <c r="O1661" s="29" t="s">
        <v>167</v>
      </c>
      <c r="P1661" s="30" t="str">
        <f t="shared" si="26"/>
        <v>日本の歴史の中の亀山／古代の亀山／亀山のあけぼの／大王の時代と亀山の古墳／古墳時代のむら／さまざまな古墳（３）</v>
      </c>
      <c r="Q1661" s="10"/>
      <c r="R1661" s="151"/>
    </row>
    <row r="1662" spans="1:18" s="139" customFormat="1" ht="14.25" customHeight="1" x14ac:dyDescent="0.15">
      <c r="A1662" s="145" t="s">
        <v>2375</v>
      </c>
      <c r="B1662" s="145">
        <v>20</v>
      </c>
      <c r="C1662" s="146" t="s">
        <v>4215</v>
      </c>
      <c r="D1662" s="146">
        <v>1988</v>
      </c>
      <c r="E1662" s="147" t="s">
        <v>34</v>
      </c>
      <c r="F1662" s="146"/>
      <c r="G1662" s="345" t="s">
        <v>4216</v>
      </c>
      <c r="H1662" s="145" t="s">
        <v>199</v>
      </c>
      <c r="I1662" s="146" t="s">
        <v>2475</v>
      </c>
      <c r="J1662" s="145" t="s">
        <v>4217</v>
      </c>
      <c r="K1662" s="145"/>
      <c r="L1662" s="145"/>
      <c r="M1662" s="145"/>
      <c r="N1662" s="32" t="s">
        <v>2329</v>
      </c>
      <c r="O1662" s="32" t="s">
        <v>774</v>
      </c>
      <c r="P1662" s="33" t="str">
        <f t="shared" si="26"/>
        <v>亀山のいいとこさがし／建物</v>
      </c>
      <c r="Q1662" s="17" t="str">
        <f>HYPERLINK("http:/kameyamarekihaku.jp/sisi/tuusiHP_next/tuusi-index.html#kingendai0904","市史通史編 近代・現代第9章第4節")</f>
        <v>市史通史編 近代・現代第9章第4節</v>
      </c>
      <c r="R1662" s="145" t="s">
        <v>4218</v>
      </c>
    </row>
    <row r="1663" spans="1:18" s="139" customFormat="1" ht="58.5" customHeight="1" x14ac:dyDescent="0.15">
      <c r="A1663" s="151"/>
      <c r="B1663" s="151"/>
      <c r="C1663" s="152"/>
      <c r="D1663" s="152"/>
      <c r="E1663" s="153"/>
      <c r="F1663" s="152"/>
      <c r="G1663" s="353"/>
      <c r="H1663" s="151"/>
      <c r="I1663" s="152"/>
      <c r="J1663" s="151"/>
      <c r="K1663" s="151"/>
      <c r="L1663" s="151"/>
      <c r="M1663" s="151"/>
      <c r="N1663" s="29" t="s">
        <v>4219</v>
      </c>
      <c r="O1663" s="29" t="s">
        <v>776</v>
      </c>
      <c r="P1663" s="30" t="str">
        <f t="shared" si="26"/>
        <v>亀山のいいとこさがし／景色のよいところや歴史を知る手掛かりとなるもの／関宿のまちなみ／新所のまちなみ／地蔵院本堂・鐘楼・愛染堂</v>
      </c>
      <c r="Q1663" s="10"/>
      <c r="R1663" s="151"/>
    </row>
    <row r="1664" spans="1:18" customFormat="1" ht="21" customHeight="1" x14ac:dyDescent="0.15">
      <c r="A1664" s="145" t="s">
        <v>2375</v>
      </c>
      <c r="B1664" s="145">
        <v>20</v>
      </c>
      <c r="C1664" s="146" t="s">
        <v>4215</v>
      </c>
      <c r="D1664" s="146">
        <v>1988</v>
      </c>
      <c r="E1664" s="147" t="s">
        <v>20</v>
      </c>
      <c r="F1664" s="249"/>
      <c r="G1664" s="88" t="s">
        <v>4220</v>
      </c>
      <c r="H1664" s="250" t="s">
        <v>199</v>
      </c>
      <c r="I1664" s="251"/>
      <c r="J1664" s="241" t="str">
        <f>HYPERLINK("http://kameyamarekihaku.jp/sisi/tuusiHP_next/kochuusei/image/10/gi.htm?pf=1305sh187.JPG&amp;?pn=%20%E7%8F%BE%E5%9C%A8%E3%81%AE%E9%96%A2%E5%AE%BF%E5%86%85%E6%96%B0%E6%89%80%EF%BC%88%E9%96%A2%E7%94%BA%E6%96%B0%E6%89%80%EF%BC%89","関宿")</f>
        <v>関宿</v>
      </c>
      <c r="K1664" s="251"/>
      <c r="L1664" s="71" t="str">
        <f>HYPERLINK("http://kameyamarekihaku.jp/sisi/tuusiHP_next/kingendai/image/09/gi.htm?pf=3111sh009-20.JPG&amp;?pn=%E9%96%A2%E5%AE%BF%EF%BC%88%E4%B8%AD%E7%94%BA%EF%BC%9A%E6%98%AD%E5%92%8C58%E5%B9%B4%EF%BC%89","画像史料：無電柱化以前の関宿")</f>
        <v>画像史料：無電柱化以前の関宿</v>
      </c>
      <c r="M1664" s="252"/>
      <c r="N1664" s="32" t="s">
        <v>3937</v>
      </c>
      <c r="O1664" s="32" t="s">
        <v>923</v>
      </c>
      <c r="P1664" s="33" t="str">
        <f t="shared" si="26"/>
        <v>むかしの道と交通／亀山の近世の道</v>
      </c>
      <c r="Q1664" s="48" t="str">
        <f>HYPERLINK("http:/kameyamarekihaku.jp/sisi/tuusiHP_next/tuusi-index.html#kingendai0904","市史通史編 近代・現代第9章第4節")</f>
        <v>市史通史編 近代・現代第9章第4節</v>
      </c>
      <c r="R1664" s="351" t="s">
        <v>4221</v>
      </c>
    </row>
    <row r="1665" spans="1:18" customFormat="1" ht="33.75" customHeight="1" x14ac:dyDescent="0.15">
      <c r="A1665" s="136"/>
      <c r="B1665" s="136"/>
      <c r="C1665" s="137"/>
      <c r="D1665" s="137"/>
      <c r="E1665" s="138"/>
      <c r="F1665" s="262"/>
      <c r="G1665" s="90"/>
      <c r="H1665" s="263"/>
      <c r="I1665" s="264"/>
      <c r="J1665" s="40"/>
      <c r="K1665" s="264"/>
      <c r="L1665" s="76"/>
      <c r="M1665" s="265"/>
      <c r="N1665" s="19" t="s">
        <v>4222</v>
      </c>
      <c r="O1665" s="19" t="s">
        <v>1251</v>
      </c>
      <c r="P1665" s="20" t="str">
        <f t="shared" si="26"/>
        <v>亀山城と宿場／４つの宿場／東海道・伊勢街道・大和街道分岐の宿場 関宿</v>
      </c>
      <c r="Q1665" s="49"/>
      <c r="R1665" s="352"/>
    </row>
    <row r="1666" spans="1:18" customFormat="1" ht="44.25" customHeight="1" x14ac:dyDescent="0.15">
      <c r="A1666" s="151"/>
      <c r="B1666" s="151"/>
      <c r="C1666" s="152"/>
      <c r="D1666" s="152"/>
      <c r="E1666" s="153"/>
      <c r="F1666" s="254"/>
      <c r="G1666" s="91"/>
      <c r="H1666" s="255"/>
      <c r="I1666" s="256"/>
      <c r="J1666" s="242"/>
      <c r="K1666" s="256"/>
      <c r="L1666" s="102"/>
      <c r="M1666" s="257"/>
      <c r="N1666" s="29" t="s">
        <v>3974</v>
      </c>
      <c r="O1666" s="29" t="s">
        <v>3941</v>
      </c>
      <c r="P1666" s="30" t="str">
        <f t="shared" si="26"/>
        <v>亀山のいいとこさがし／景色のよいところや歴史を知る手掛かりとなるもの／関宿のまちなみ</v>
      </c>
      <c r="Q1666" s="46"/>
      <c r="R1666" s="355"/>
    </row>
    <row r="1667" spans="1:18" customFormat="1" ht="63" customHeight="1" x14ac:dyDescent="0.15">
      <c r="A1667" s="142" t="s">
        <v>2375</v>
      </c>
      <c r="B1667" s="142">
        <v>20</v>
      </c>
      <c r="C1667" s="143" t="s">
        <v>4215</v>
      </c>
      <c r="D1667" s="143">
        <v>1988</v>
      </c>
      <c r="E1667" s="144" t="s">
        <v>34</v>
      </c>
      <c r="F1667" s="245"/>
      <c r="G1667" s="120" t="s">
        <v>4223</v>
      </c>
      <c r="H1667" s="120" t="s">
        <v>199</v>
      </c>
      <c r="I1667" s="120" t="s">
        <v>4087</v>
      </c>
      <c r="J1667" s="175" t="s">
        <v>4224</v>
      </c>
      <c r="K1667" s="247"/>
      <c r="L1667" s="248"/>
      <c r="M1667" s="248"/>
      <c r="N1667" s="23" t="s">
        <v>4225</v>
      </c>
      <c r="O1667" s="23" t="s">
        <v>4226</v>
      </c>
      <c r="P1667" s="24" t="str">
        <f t="shared" si="26"/>
        <v>亀山のいいとこさがし／景色のよいところや歴史を知る手掛かりとなるもの／関宿のまちなみ／中町のまちなみ／旧別所家住宅（関まちなみ資料館）</v>
      </c>
      <c r="Q1667" s="25" t="str">
        <f>HYPERLINK("http:/kameyamarekihaku.jp/sisi/tuusiHP_next/tuusi-index.html#kingendai0904","市史通史編 近代・現代第9章第4節第2項")</f>
        <v>市史通史編 近代・現代第9章第4節第2項</v>
      </c>
      <c r="R1667" s="244" t="s">
        <v>4089</v>
      </c>
    </row>
    <row r="1668" spans="1:18" s="139" customFormat="1" ht="15" customHeight="1" x14ac:dyDescent="0.15">
      <c r="A1668" s="142" t="s">
        <v>2375</v>
      </c>
      <c r="B1668" s="142">
        <v>20</v>
      </c>
      <c r="C1668" s="143" t="s">
        <v>4215</v>
      </c>
      <c r="D1668" s="143">
        <v>1988</v>
      </c>
      <c r="E1668" s="144" t="s">
        <v>20</v>
      </c>
      <c r="F1668" s="143" t="s">
        <v>4227</v>
      </c>
      <c r="G1668" s="238"/>
      <c r="H1668" s="142"/>
      <c r="I1668" s="143"/>
      <c r="J1668" s="142"/>
      <c r="K1668" s="142"/>
      <c r="L1668" s="142"/>
      <c r="M1668" s="142"/>
      <c r="N1668" s="12"/>
      <c r="O1668" s="12" t="e">
        <v>#VALUE!</v>
      </c>
      <c r="P1668" s="13" t="str">
        <f t="shared" si="26"/>
        <v/>
      </c>
      <c r="Q1668" s="158"/>
      <c r="R1668" s="142"/>
    </row>
    <row r="1669" spans="1:18" s="139" customFormat="1" ht="15" customHeight="1" x14ac:dyDescent="0.15">
      <c r="A1669" s="142" t="s">
        <v>2375</v>
      </c>
      <c r="B1669" s="142">
        <v>20</v>
      </c>
      <c r="C1669" s="143" t="s">
        <v>4215</v>
      </c>
      <c r="D1669" s="143">
        <v>1988</v>
      </c>
      <c r="E1669" s="144" t="s">
        <v>20</v>
      </c>
      <c r="F1669" s="143" t="s">
        <v>4228</v>
      </c>
      <c r="G1669" s="143"/>
      <c r="H1669" s="142"/>
      <c r="I1669" s="143"/>
      <c r="J1669" s="142"/>
      <c r="K1669" s="142"/>
      <c r="L1669" s="142"/>
      <c r="M1669" s="142"/>
      <c r="N1669" s="12"/>
      <c r="O1669" s="12" t="e">
        <v>#VALUE!</v>
      </c>
      <c r="P1669" s="13" t="str">
        <f t="shared" ref="P1669:P1732" si="27">IFERROR(HYPERLINK(O1669,N1669),"")</f>
        <v/>
      </c>
      <c r="Q1669" s="158"/>
      <c r="R1669" s="142"/>
    </row>
    <row r="1670" spans="1:18" s="139" customFormat="1" ht="15" customHeight="1" x14ac:dyDescent="0.15">
      <c r="A1670" s="142" t="s">
        <v>4229</v>
      </c>
      <c r="B1670" s="142">
        <v>20</v>
      </c>
      <c r="C1670" s="143" t="s">
        <v>4230</v>
      </c>
      <c r="D1670" s="143">
        <v>1989</v>
      </c>
      <c r="E1670" s="144" t="s">
        <v>20</v>
      </c>
      <c r="F1670" s="143" t="s">
        <v>4231</v>
      </c>
      <c r="G1670" s="143"/>
      <c r="H1670" s="142"/>
      <c r="I1670" s="143"/>
      <c r="J1670" s="142"/>
      <c r="K1670" s="142"/>
      <c r="L1670" s="142"/>
      <c r="M1670" s="142"/>
      <c r="N1670" s="12"/>
      <c r="O1670" s="12" t="e">
        <v>#VALUE!</v>
      </c>
      <c r="P1670" s="13" t="str">
        <f t="shared" si="27"/>
        <v/>
      </c>
      <c r="Q1670" s="158"/>
      <c r="R1670" s="142"/>
    </row>
    <row r="1671" spans="1:18" s="139" customFormat="1" ht="20.25" customHeight="1" x14ac:dyDescent="0.15">
      <c r="A1671" s="145" t="s">
        <v>4229</v>
      </c>
      <c r="B1671" s="145">
        <v>20</v>
      </c>
      <c r="C1671" s="146" t="s">
        <v>4230</v>
      </c>
      <c r="D1671" s="146">
        <v>1989</v>
      </c>
      <c r="E1671" s="147" t="s">
        <v>34</v>
      </c>
      <c r="F1671" s="146"/>
      <c r="G1671" s="345" t="s">
        <v>4232</v>
      </c>
      <c r="H1671" s="145" t="s">
        <v>632</v>
      </c>
      <c r="I1671" s="146" t="s">
        <v>41</v>
      </c>
      <c r="J1671" s="241" t="str">
        <f>HYPERLINK("http://kameyamarekihaku.jp/sisi/KoukoHP/archives/oohana/01/01-02/gi.html?pf=OOHA01-12.JPG&amp;pn=%E9%81%BA%E8%B7%A1%E9%81%A0%E6%99%AF%EF%BC%9A%E4%B8%89%E9%87%8D%E7%9C%8C%E5%9F%8B%E8%94%B5%E6%96%87%E5%8C%96%E8%B2%A1%E3%82%BB%E3%83%B3%E3%82%BF%E3%83%BC%E8%94%B5","大鼻遺跡")</f>
        <v>大鼻遺跡</v>
      </c>
      <c r="K1671" s="145"/>
      <c r="L1671" s="145" t="s">
        <v>4123</v>
      </c>
      <c r="M1671" s="145"/>
      <c r="N1671" s="310" t="s">
        <v>4233</v>
      </c>
      <c r="O1671" s="310" t="s">
        <v>44</v>
      </c>
      <c r="P1671" s="311" t="str">
        <f t="shared" si="27"/>
        <v>日本の歴史の中の亀山／古代の亀山／亀山のあけぼの／人が住み始めたころの亀山／縄文時代の暮らし／大鼻遺跡</v>
      </c>
      <c r="Q1671" s="17" t="str">
        <f>HYPERLINK("http:/kameyamarekihaku.jp/sisi/KoukoHP/iseki.html","市史考古編遺跡一覧N0.１")</f>
        <v>市史考古編遺跡一覧N0.１</v>
      </c>
      <c r="R1671" s="347" t="s">
        <v>4234</v>
      </c>
    </row>
    <row r="1672" spans="1:18" s="139" customFormat="1" ht="43.5" customHeight="1" x14ac:dyDescent="0.15">
      <c r="A1672" s="136"/>
      <c r="B1672" s="136"/>
      <c r="C1672" s="137"/>
      <c r="D1672" s="137"/>
      <c r="E1672" s="138"/>
      <c r="F1672" s="137"/>
      <c r="G1672" s="346"/>
      <c r="H1672" s="136"/>
      <c r="I1672" s="137"/>
      <c r="J1672" s="140"/>
      <c r="K1672" s="136"/>
      <c r="L1672" s="76" t="str">
        <f>HYPERLINK("http://kameyamarekihaku.jp/sisi/koukoHP/archives/oohana/01/01-02/gi.html?pf=OOHA01-35.JPG&amp;pn=%E5%A4%A7%E9%BC%BB%E5%BC%8F%E5%9C%9F%E5%99%A8","押型文（大鼻式）土器")</f>
        <v>押型文（大鼻式）土器</v>
      </c>
      <c r="M1672" s="136"/>
      <c r="N1672" s="317"/>
      <c r="O1672" s="317" t="e">
        <v>#VALUE!</v>
      </c>
      <c r="P1672" s="318" t="str">
        <f t="shared" si="27"/>
        <v/>
      </c>
      <c r="Q1672" s="21"/>
      <c r="R1672" s="332"/>
    </row>
    <row r="1673" spans="1:18" s="139" customFormat="1" ht="61.5" customHeight="1" x14ac:dyDescent="0.15">
      <c r="A1673" s="136"/>
      <c r="B1673" s="136"/>
      <c r="C1673" s="137"/>
      <c r="D1673" s="137"/>
      <c r="E1673" s="138"/>
      <c r="F1673" s="137"/>
      <c r="G1673" s="141"/>
      <c r="H1673" s="136"/>
      <c r="I1673" s="137"/>
      <c r="J1673" s="140"/>
      <c r="K1673" s="136"/>
      <c r="L1673" s="76"/>
      <c r="M1673" s="136"/>
      <c r="N1673" s="19" t="s">
        <v>4235</v>
      </c>
      <c r="O1673" s="19" t="s">
        <v>44</v>
      </c>
      <c r="P1673" s="20" t="str">
        <f t="shared" si="27"/>
        <v>日本の歴史の中の亀山／古代の亀山／亀山のあけぼの／弥生時代の暮らし／弥生文化と亀山／大鼻遺跡</v>
      </c>
      <c r="Q1673" s="21"/>
      <c r="R1673" s="79"/>
    </row>
    <row r="1674" spans="1:18" s="139" customFormat="1" ht="61.5" customHeight="1" x14ac:dyDescent="0.15">
      <c r="A1674" s="151"/>
      <c r="B1674" s="151"/>
      <c r="C1674" s="152"/>
      <c r="D1674" s="152"/>
      <c r="E1674" s="153"/>
      <c r="F1674" s="152"/>
      <c r="G1674" s="154"/>
      <c r="H1674" s="151"/>
      <c r="I1674" s="152"/>
      <c r="J1674" s="156"/>
      <c r="K1674" s="151"/>
      <c r="L1674" s="102"/>
      <c r="M1674" s="151"/>
      <c r="N1674" s="29" t="s">
        <v>4236</v>
      </c>
      <c r="O1674" s="29" t="s">
        <v>167</v>
      </c>
      <c r="P1674" s="30" t="str">
        <f t="shared" si="27"/>
        <v>日本の歴史の中の亀山／古代の亀山／亀山のあけぼの／大王の時代と亀山の古墳／古墳時代のむら／さまざまな古墳（３）</v>
      </c>
      <c r="Q1674" s="10"/>
      <c r="R1674" s="157"/>
    </row>
    <row r="1675" spans="1:18" s="139" customFormat="1" ht="15" customHeight="1" x14ac:dyDescent="0.15">
      <c r="A1675" s="142" t="s">
        <v>4229</v>
      </c>
      <c r="B1675" s="142">
        <v>20</v>
      </c>
      <c r="C1675" s="143" t="s">
        <v>4230</v>
      </c>
      <c r="D1675" s="143">
        <v>1989</v>
      </c>
      <c r="E1675" s="144" t="s">
        <v>20</v>
      </c>
      <c r="F1675" s="143"/>
      <c r="G1675" s="143" t="s">
        <v>4237</v>
      </c>
      <c r="H1675" s="142"/>
      <c r="I1675" s="143"/>
      <c r="J1675" s="142"/>
      <c r="K1675" s="142"/>
      <c r="L1675" s="142"/>
      <c r="M1675" s="142"/>
      <c r="N1675" s="12"/>
      <c r="O1675" s="12" t="e">
        <v>#VALUE!</v>
      </c>
      <c r="P1675" s="13" t="str">
        <f t="shared" si="27"/>
        <v/>
      </c>
      <c r="Q1675" s="158"/>
      <c r="R1675" s="142" t="s">
        <v>3422</v>
      </c>
    </row>
    <row r="1676" spans="1:18" s="139" customFormat="1" ht="55.5" customHeight="1" x14ac:dyDescent="0.15">
      <c r="A1676" s="142" t="s">
        <v>4229</v>
      </c>
      <c r="B1676" s="142">
        <v>20</v>
      </c>
      <c r="C1676" s="143" t="s">
        <v>4230</v>
      </c>
      <c r="D1676" s="143">
        <v>1989</v>
      </c>
      <c r="E1676" s="144" t="s">
        <v>20</v>
      </c>
      <c r="F1676" s="143"/>
      <c r="G1676" s="143" t="s">
        <v>4238</v>
      </c>
      <c r="H1676" s="142"/>
      <c r="I1676" s="143"/>
      <c r="J1676" s="142"/>
      <c r="K1676" s="142"/>
      <c r="L1676" s="142"/>
      <c r="M1676" s="142"/>
      <c r="N1676" s="12"/>
      <c r="O1676" s="12" t="e">
        <v>#VALUE!</v>
      </c>
      <c r="P1676" s="13" t="str">
        <f t="shared" si="27"/>
        <v/>
      </c>
      <c r="Q1676" s="158"/>
      <c r="R1676" s="142" t="s">
        <v>3422</v>
      </c>
    </row>
    <row r="1677" spans="1:18" s="139" customFormat="1" ht="28.5" customHeight="1" x14ac:dyDescent="0.15">
      <c r="A1677" s="142" t="s">
        <v>4229</v>
      </c>
      <c r="B1677" s="142">
        <v>20</v>
      </c>
      <c r="C1677" s="143" t="s">
        <v>4230</v>
      </c>
      <c r="D1677" s="143">
        <v>1989</v>
      </c>
      <c r="E1677" s="144" t="s">
        <v>20</v>
      </c>
      <c r="F1677" s="175"/>
      <c r="G1677" s="143" t="s">
        <v>4239</v>
      </c>
      <c r="H1677" s="142"/>
      <c r="I1677" s="143"/>
      <c r="J1677" s="142"/>
      <c r="K1677" s="142"/>
      <c r="L1677" s="142"/>
      <c r="M1677" s="142"/>
      <c r="N1677" s="12"/>
      <c r="O1677" s="12" t="e">
        <v>#VALUE!</v>
      </c>
      <c r="P1677" s="13" t="str">
        <f t="shared" si="27"/>
        <v/>
      </c>
      <c r="Q1677" s="158"/>
      <c r="R1677" s="142" t="s">
        <v>3422</v>
      </c>
    </row>
    <row r="1678" spans="1:18" s="139" customFormat="1" ht="64.5" customHeight="1" x14ac:dyDescent="0.15">
      <c r="A1678" s="142" t="s">
        <v>4229</v>
      </c>
      <c r="B1678" s="142">
        <v>20</v>
      </c>
      <c r="C1678" s="143" t="s">
        <v>4230</v>
      </c>
      <c r="D1678" s="143">
        <v>1989</v>
      </c>
      <c r="E1678" s="144" t="s">
        <v>20</v>
      </c>
      <c r="F1678" s="175"/>
      <c r="G1678" s="143" t="s">
        <v>4240</v>
      </c>
      <c r="H1678" s="142" t="s">
        <v>464</v>
      </c>
      <c r="I1678" s="143" t="s">
        <v>394</v>
      </c>
      <c r="J1678" s="82" t="str">
        <f>HYPERLINK("http://kameyamarekihaku.jp/sisi/koukoHP/archives/kamejyougennjyo/01/01-01/gi.html?pf=KJGNJY0101-01-077.JPG&amp;pn=%E7%85%A7%E5%85%89%E5%AF%BA","照光寺")</f>
        <v>照光寺</v>
      </c>
      <c r="K1678" s="142"/>
      <c r="L1678" s="142"/>
      <c r="M1678" s="71" t="str">
        <f>HYPERLINK("http://kameyamarekihaku.jp/sisi/MinzokuHP/jirei/bunrui5/data5-1/gi.htm?pf=DSC04043-1.jpg&amp;pn=%E7%9F%B3%E4%BA%95%E5%85%84%E5%BC%9F%E4%BB%87%E8%A8%8E%E3%81%A1%E3%81%AE%E7%A2%91","石井兄弟敵討碑")</f>
        <v>石井兄弟敵討碑</v>
      </c>
      <c r="N1678" s="23" t="s">
        <v>4241</v>
      </c>
      <c r="O1678" s="23" t="s">
        <v>1514</v>
      </c>
      <c r="P1678" s="24" t="str">
        <f t="shared" si="27"/>
        <v>亀山のむかしばなし／亀山にまつわるひとびとの話／石井兄弟のかたきうち</v>
      </c>
      <c r="Q1678" s="25" t="str">
        <f>HYPERLINK("http://kameyamarekihaku.jp/sisi/MinzokuHP/jirei/bunrui11/data11-2/index11_2_1.htm","市史民俗編／口頭伝承〜石井兄弟の亀山の敵討ち")</f>
        <v>市史民俗編／口頭伝承〜石井兄弟の亀山の敵討ち</v>
      </c>
      <c r="R1678" s="142" t="s">
        <v>3422</v>
      </c>
    </row>
    <row r="1679" spans="1:18" s="139" customFormat="1" ht="47.25" customHeight="1" x14ac:dyDescent="0.15">
      <c r="A1679" s="142" t="s">
        <v>4229</v>
      </c>
      <c r="B1679" s="142">
        <v>20</v>
      </c>
      <c r="C1679" s="143" t="s">
        <v>4230</v>
      </c>
      <c r="D1679" s="143">
        <v>1989</v>
      </c>
      <c r="E1679" s="144" t="s">
        <v>34</v>
      </c>
      <c r="F1679" s="175"/>
      <c r="G1679" s="143" t="s">
        <v>4242</v>
      </c>
      <c r="H1679" s="142"/>
      <c r="I1679" s="143"/>
      <c r="J1679" s="142"/>
      <c r="K1679" s="142" t="s">
        <v>4243</v>
      </c>
      <c r="L1679" s="142" t="s">
        <v>4244</v>
      </c>
      <c r="M1679" s="142"/>
      <c r="N1679" s="23" t="s">
        <v>2598</v>
      </c>
      <c r="O1679" s="23" t="s">
        <v>2599</v>
      </c>
      <c r="P1679" s="24" t="str">
        <f t="shared" si="27"/>
        <v>亀山市の名誉市民／旧亀山市の名誉市民</v>
      </c>
      <c r="Q1679" s="25" t="str">
        <f>HYPERLINK("http://kameyamarekihaku.jp/23kikaku/info.html","企画展「－世界に冠たる亀山人－映画監督衣笠貞之助と言語学者服部四郎」")</f>
        <v>企画展「－世界に冠たる亀山人－映画監督衣笠貞之助と言語学者服部四郎」</v>
      </c>
      <c r="R1679" s="142" t="s">
        <v>3422</v>
      </c>
    </row>
    <row r="1680" spans="1:18" s="139" customFormat="1" ht="42.75" customHeight="1" x14ac:dyDescent="0.15">
      <c r="A1680" s="142" t="s">
        <v>4229</v>
      </c>
      <c r="B1680" s="142">
        <v>20</v>
      </c>
      <c r="C1680" s="143" t="s">
        <v>4230</v>
      </c>
      <c r="D1680" s="143">
        <v>1989</v>
      </c>
      <c r="E1680" s="144" t="s">
        <v>34</v>
      </c>
      <c r="F1680" s="175"/>
      <c r="G1680" s="143" t="s">
        <v>4245</v>
      </c>
      <c r="H1680" s="142" t="s">
        <v>122</v>
      </c>
      <c r="I1680" s="143" t="s">
        <v>3352</v>
      </c>
      <c r="J1680" s="82" t="str">
        <f>HYPERLINK("http://kameyamarekihaku.jp/sisi/KoukoHP/archives/onojo_01tyousa/01/01-01/gi.html?pf=onojo0101-01-001.JPG&amp;pn=%E8%AA%BF%E6%9F%BB%E5%89%8D%E7%8A%B6%E6%B3%81","小野城跡")</f>
        <v>小野城跡</v>
      </c>
      <c r="K1680" s="142"/>
      <c r="L1680" s="142" t="s">
        <v>4246</v>
      </c>
      <c r="M1680" s="142"/>
      <c r="N1680" s="29"/>
      <c r="O1680" s="29" t="e">
        <v>#VALUE!</v>
      </c>
      <c r="P1680" s="30" t="str">
        <f t="shared" si="27"/>
        <v/>
      </c>
      <c r="Q1680" s="10" t="str">
        <f>HYPERLINK("http:/kameyamarekihaku.jp/sisi/KoukoHP/iseki.html","市史考古編遺跡一覧N0.50")</f>
        <v>市史考古編遺跡一覧N0.50</v>
      </c>
      <c r="R1680" s="142" t="s">
        <v>4247</v>
      </c>
    </row>
    <row r="1681" spans="1:18" customFormat="1" ht="15" customHeight="1" x14ac:dyDescent="0.15">
      <c r="A1681" s="142" t="s">
        <v>4229</v>
      </c>
      <c r="B1681" s="142">
        <v>20</v>
      </c>
      <c r="C1681" s="143" t="s">
        <v>4230</v>
      </c>
      <c r="D1681" s="143">
        <v>1989</v>
      </c>
      <c r="E1681" s="144" t="s">
        <v>20</v>
      </c>
      <c r="F1681" s="245"/>
      <c r="G1681" s="120" t="s">
        <v>4248</v>
      </c>
      <c r="H1681" s="246" t="s">
        <v>199</v>
      </c>
      <c r="I1681" s="247"/>
      <c r="J1681" s="247"/>
      <c r="K1681" s="247"/>
      <c r="L1681" s="248"/>
      <c r="M1681" s="248"/>
      <c r="N1681" s="12"/>
      <c r="O1681" s="12" t="e">
        <v>#VALUE!</v>
      </c>
      <c r="P1681" s="13" t="str">
        <f t="shared" si="27"/>
        <v/>
      </c>
      <c r="Q1681" s="194"/>
      <c r="R1681" s="248" t="s">
        <v>4089</v>
      </c>
    </row>
    <row r="1682" spans="1:18" customFormat="1" ht="15" customHeight="1" x14ac:dyDescent="0.15">
      <c r="A1682" s="142" t="s">
        <v>4229</v>
      </c>
      <c r="B1682" s="142">
        <v>20</v>
      </c>
      <c r="C1682" s="143" t="s">
        <v>4230</v>
      </c>
      <c r="D1682" s="143">
        <v>1989</v>
      </c>
      <c r="E1682" s="144" t="s">
        <v>20</v>
      </c>
      <c r="F1682" s="245"/>
      <c r="G1682" s="120" t="s">
        <v>4249</v>
      </c>
      <c r="H1682" s="246" t="s">
        <v>199</v>
      </c>
      <c r="I1682" s="246" t="s">
        <v>4250</v>
      </c>
      <c r="J1682" s="247"/>
      <c r="K1682" s="247"/>
      <c r="L1682" s="248"/>
      <c r="M1682" s="248"/>
      <c r="N1682" s="12"/>
      <c r="O1682" s="12" t="e">
        <v>#VALUE!</v>
      </c>
      <c r="P1682" s="13" t="str">
        <f t="shared" si="27"/>
        <v/>
      </c>
      <c r="Q1682" s="194"/>
      <c r="R1682" s="248" t="s">
        <v>4089</v>
      </c>
    </row>
    <row r="1683" spans="1:18" customFormat="1" ht="45" customHeight="1" x14ac:dyDescent="0.15">
      <c r="A1683" s="142" t="s">
        <v>4229</v>
      </c>
      <c r="B1683" s="142">
        <v>20</v>
      </c>
      <c r="C1683" s="143" t="s">
        <v>4230</v>
      </c>
      <c r="D1683" s="143">
        <v>1989</v>
      </c>
      <c r="E1683" s="144" t="s">
        <v>20</v>
      </c>
      <c r="F1683" s="245"/>
      <c r="G1683" s="120" t="s">
        <v>4251</v>
      </c>
      <c r="H1683" s="246"/>
      <c r="I1683" s="247"/>
      <c r="J1683" s="247"/>
      <c r="K1683" s="247"/>
      <c r="L1683" s="248"/>
      <c r="M1683" s="248"/>
      <c r="N1683" s="23" t="s">
        <v>4252</v>
      </c>
      <c r="O1683" s="23" t="s">
        <v>4253</v>
      </c>
      <c r="P1683" s="24" t="str">
        <f t="shared" si="27"/>
        <v>日本の歴史の中の亀山／現代の亀山／産業／工業／工業団地</v>
      </c>
      <c r="Q1683" s="47" t="str">
        <f>HYPERLINK("http:/kameyamarekihaku.jp/sisi/tuusiHP_next/tuusi-index.html#kingendai0902","市史通史編 近代・現代第9章第2節")</f>
        <v>市史通史編 近代・現代第9章第2節</v>
      </c>
      <c r="R1683" s="246" t="s">
        <v>4254</v>
      </c>
    </row>
    <row r="1684" spans="1:18" customFormat="1" ht="17.25" customHeight="1" x14ac:dyDescent="0.15">
      <c r="A1684" s="142" t="s">
        <v>4229</v>
      </c>
      <c r="B1684" s="142">
        <v>20</v>
      </c>
      <c r="C1684" s="143" t="s">
        <v>4230</v>
      </c>
      <c r="D1684" s="143">
        <v>1989</v>
      </c>
      <c r="E1684" s="144" t="s">
        <v>20</v>
      </c>
      <c r="F1684" s="245"/>
      <c r="G1684" s="120" t="s">
        <v>4255</v>
      </c>
      <c r="H1684" s="246" t="s">
        <v>199</v>
      </c>
      <c r="I1684" s="247"/>
      <c r="J1684" s="247"/>
      <c r="K1684" s="247"/>
      <c r="L1684" s="248"/>
      <c r="M1684" s="248"/>
      <c r="N1684" s="12"/>
      <c r="O1684" s="12" t="e">
        <v>#VALUE!</v>
      </c>
      <c r="P1684" s="13" t="str">
        <f t="shared" si="27"/>
        <v/>
      </c>
      <c r="Q1684" s="194"/>
      <c r="R1684" s="248" t="s">
        <v>4089</v>
      </c>
    </row>
    <row r="1685" spans="1:18" s="139" customFormat="1" ht="63.75" customHeight="1" x14ac:dyDescent="0.15">
      <c r="A1685" s="145" t="s">
        <v>4229</v>
      </c>
      <c r="B1685" s="145">
        <v>20</v>
      </c>
      <c r="C1685" s="146" t="s">
        <v>4256</v>
      </c>
      <c r="D1685" s="146">
        <v>1990</v>
      </c>
      <c r="E1685" s="147" t="s">
        <v>34</v>
      </c>
      <c r="F1685" s="146"/>
      <c r="G1685" s="239" t="s">
        <v>4257</v>
      </c>
      <c r="H1685" s="145" t="s">
        <v>464</v>
      </c>
      <c r="I1685" s="146" t="s">
        <v>804</v>
      </c>
      <c r="J1685" s="71" t="str">
        <f>HYPERLINK("http://kameyamarekihaku.jp/sisi/koukoHP/archives/ooyabu/01/01-02/gi.html?pf=OOYB0101-01-001.JPG&amp;pn=%E8%AA%BF%E6%9F%BB%E5%89%8D%E7%8A%B6%E6%B3%81%20","大藪遺跡")</f>
        <v>大藪遺跡</v>
      </c>
      <c r="K1685" s="145"/>
      <c r="M1685" s="145"/>
      <c r="N1685" s="19"/>
      <c r="O1685" s="19" t="e">
        <v>#VALUE!</v>
      </c>
      <c r="P1685" s="20" t="str">
        <f t="shared" si="27"/>
        <v/>
      </c>
      <c r="Q1685" s="21" t="str">
        <f>HYPERLINK("http:/kameyamarekihaku.jp/sisi/KoukoHP/iseki.html","市史考古編遺跡一覧N0.54")</f>
        <v>市史考古編遺跡一覧N0.54</v>
      </c>
      <c r="R1685" s="160" t="s">
        <v>4258</v>
      </c>
    </row>
    <row r="1686" spans="1:18" s="139" customFormat="1" ht="28.5" customHeight="1" x14ac:dyDescent="0.15">
      <c r="A1686" s="142" t="s">
        <v>4229</v>
      </c>
      <c r="B1686" s="142">
        <v>20</v>
      </c>
      <c r="C1686" s="143" t="s">
        <v>4256</v>
      </c>
      <c r="D1686" s="143">
        <v>1990</v>
      </c>
      <c r="E1686" s="144" t="s">
        <v>20</v>
      </c>
      <c r="F1686" s="143"/>
      <c r="G1686" s="143" t="s">
        <v>4259</v>
      </c>
      <c r="H1686" s="142"/>
      <c r="I1686" s="143"/>
      <c r="J1686" s="142" t="s">
        <v>4260</v>
      </c>
      <c r="K1686" s="142"/>
      <c r="L1686" s="142"/>
      <c r="M1686" s="142"/>
      <c r="N1686" s="12"/>
      <c r="O1686" s="12" t="e">
        <v>#VALUE!</v>
      </c>
      <c r="P1686" s="13" t="str">
        <f t="shared" si="27"/>
        <v/>
      </c>
      <c r="Q1686" s="158"/>
      <c r="R1686" s="142" t="s">
        <v>3422</v>
      </c>
    </row>
    <row r="1687" spans="1:18" s="139" customFormat="1" ht="31.5" customHeight="1" x14ac:dyDescent="0.15">
      <c r="A1687" s="145" t="s">
        <v>4229</v>
      </c>
      <c r="B1687" s="145">
        <v>20</v>
      </c>
      <c r="C1687" s="146" t="s">
        <v>4256</v>
      </c>
      <c r="D1687" s="146">
        <v>1990</v>
      </c>
      <c r="E1687" s="147" t="s">
        <v>34</v>
      </c>
      <c r="F1687" s="146"/>
      <c r="G1687" s="345" t="s">
        <v>4261</v>
      </c>
      <c r="H1687" s="145" t="s">
        <v>464</v>
      </c>
      <c r="I1687" s="146" t="s">
        <v>1157</v>
      </c>
      <c r="J1687" s="337" t="str">
        <f>HYPERLINK("http://kameyamarekihaku.jp/sisi/koukoHP/archives/kamejyougennjyo/01/01-03/gi.html?pf=KJGNJY0103-03-013.JPG&amp;pn=%E6%B1%A0%E3%81%AE%E5%81%B4%E8%B6%8A%E3%81%97%E3%81%AB%E8%A6%8B%E3%81%9F%E5%A4%9A%E9%96%80%E6%AB%93%E5%85%A8%E6%99%AF%20","亀山城多門櫓周辺")</f>
        <v>亀山城多門櫓周辺</v>
      </c>
      <c r="K1687" s="145"/>
      <c r="L1687" s="145"/>
      <c r="M1687" s="21" t="str">
        <f>HYPERLINK("http://kameyamarekihaku.jp/sisi/koukoHP/archives/kamejyougennjyo/01/01-01/gi.html?pf=KJGNJY0101-01-036.JPG&amp;pn=%E8%A5%BF%E7%94%BA%EF%BC%88%E6%B1%A0%E3%81%AE%E5%81%B4%EF%BC%89","西町（池の側）")</f>
        <v>西町（池の側）</v>
      </c>
      <c r="N1687" s="32" t="s">
        <v>4169</v>
      </c>
      <c r="O1687" s="32" t="s">
        <v>2070</v>
      </c>
      <c r="P1687" s="33" t="str">
        <f t="shared" si="27"/>
        <v>亀山城と宿場／亀山城のつくり／櫓／多門櫓</v>
      </c>
      <c r="Q1687" s="21" t="str">
        <f>HYPERLINK("http:/kameyamarekihaku.jp/sisi/KoukoHP/iseki.html","市史考古編遺跡一覧N0.66")</f>
        <v>市史考古編遺跡一覧N0.66</v>
      </c>
      <c r="R1687" s="347" t="s">
        <v>4201</v>
      </c>
    </row>
    <row r="1688" spans="1:18" s="139" customFormat="1" ht="33" customHeight="1" x14ac:dyDescent="0.15">
      <c r="A1688" s="136"/>
      <c r="B1688" s="136"/>
      <c r="C1688" s="137"/>
      <c r="D1688" s="137"/>
      <c r="E1688" s="138"/>
      <c r="F1688" s="137"/>
      <c r="G1688" s="346"/>
      <c r="H1688" s="136"/>
      <c r="I1688" s="137"/>
      <c r="J1688" s="338"/>
      <c r="K1688" s="136"/>
      <c r="L1688" s="136"/>
      <c r="M1688" s="136"/>
      <c r="N1688" s="19" t="s">
        <v>1916</v>
      </c>
      <c r="O1688" s="19" t="s">
        <v>1747</v>
      </c>
      <c r="P1688" s="20" t="str">
        <f t="shared" si="27"/>
        <v>亀山城と宿場／４つの宿場／城下町の宿場 亀山宿</v>
      </c>
      <c r="Q1688" s="21" t="str">
        <f>HYPERLINK("http://www.kameyamarekihaku.jp/sisi/seckam3/chizukouko.php","市史考古分野(各コンテンツ)「亀山城下町を歩く」No.33")</f>
        <v>市史考古分野(各コンテンツ)「亀山城下町を歩く」No.33</v>
      </c>
      <c r="R1688" s="332"/>
    </row>
    <row r="1689" spans="1:18" s="139" customFormat="1" ht="34.5" customHeight="1" x14ac:dyDescent="0.15">
      <c r="A1689" s="151"/>
      <c r="B1689" s="151"/>
      <c r="C1689" s="152"/>
      <c r="D1689" s="152"/>
      <c r="E1689" s="153"/>
      <c r="F1689" s="152"/>
      <c r="G1689" s="154"/>
      <c r="H1689" s="151"/>
      <c r="I1689" s="152"/>
      <c r="J1689" s="10"/>
      <c r="K1689" s="151"/>
      <c r="L1689" s="151"/>
      <c r="M1689" s="151"/>
      <c r="N1689" s="19" t="s">
        <v>1083</v>
      </c>
      <c r="O1689" s="19" t="s">
        <v>774</v>
      </c>
      <c r="P1689" s="20" t="str">
        <f t="shared" si="27"/>
        <v>亀山のいいとこさがし／建物</v>
      </c>
      <c r="Q1689" s="21" t="str">
        <f>HYPERLINK("http://www.kameyamarekihaku.jp/sisi/seckam3/chizushiro.php","市史考古分野(各コンテンツ)「亀山城跡を歩く」")</f>
        <v>市史考古分野(各コンテンツ)「亀山城跡を歩く」</v>
      </c>
      <c r="R1689" s="157"/>
    </row>
    <row r="1690" spans="1:18" s="139" customFormat="1" ht="32.25" customHeight="1" x14ac:dyDescent="0.15">
      <c r="A1690" s="142" t="s">
        <v>4229</v>
      </c>
      <c r="B1690" s="142">
        <v>20</v>
      </c>
      <c r="C1690" s="143" t="s">
        <v>4256</v>
      </c>
      <c r="D1690" s="143">
        <v>1990</v>
      </c>
      <c r="E1690" s="144" t="s">
        <v>20</v>
      </c>
      <c r="F1690" s="143"/>
      <c r="G1690" s="143" t="s">
        <v>4262</v>
      </c>
      <c r="H1690" s="142" t="s">
        <v>464</v>
      </c>
      <c r="I1690" s="143" t="s">
        <v>2576</v>
      </c>
      <c r="J1690" s="142" t="s">
        <v>4263</v>
      </c>
      <c r="K1690" s="142"/>
      <c r="L1690" s="142"/>
      <c r="M1690" s="142"/>
      <c r="N1690" s="12" t="s">
        <v>4264</v>
      </c>
      <c r="O1690" s="12" t="s">
        <v>4265</v>
      </c>
      <c r="P1690" s="13" t="str">
        <f t="shared" si="27"/>
        <v>日本の歴史の中の亀山／現代の亀山／教育と医療・福祉／医療センター</v>
      </c>
      <c r="Q1690" s="158"/>
      <c r="R1690" s="142" t="s">
        <v>3422</v>
      </c>
    </row>
    <row r="1691" spans="1:18" s="139" customFormat="1" ht="28.5" customHeight="1" x14ac:dyDescent="0.15">
      <c r="A1691" s="142" t="s">
        <v>4229</v>
      </c>
      <c r="B1691" s="142">
        <v>20</v>
      </c>
      <c r="C1691" s="143" t="s">
        <v>4256</v>
      </c>
      <c r="D1691" s="143">
        <v>1990</v>
      </c>
      <c r="E1691" s="144" t="s">
        <v>20</v>
      </c>
      <c r="F1691" s="143"/>
      <c r="G1691" s="143" t="s">
        <v>4266</v>
      </c>
      <c r="H1691" s="142" t="s">
        <v>464</v>
      </c>
      <c r="I1691" s="143" t="s">
        <v>2576</v>
      </c>
      <c r="J1691" s="142" t="s">
        <v>4267</v>
      </c>
      <c r="K1691" s="142"/>
      <c r="L1691" s="142"/>
      <c r="M1691" s="142"/>
      <c r="N1691" s="12"/>
      <c r="O1691" s="12" t="e">
        <v>#VALUE!</v>
      </c>
      <c r="P1691" s="13" t="str">
        <f t="shared" si="27"/>
        <v/>
      </c>
      <c r="Q1691" s="158"/>
      <c r="R1691" s="142" t="s">
        <v>3422</v>
      </c>
    </row>
    <row r="1692" spans="1:18" s="139" customFormat="1" ht="42.75" customHeight="1" x14ac:dyDescent="0.15">
      <c r="A1692" s="142" t="s">
        <v>4229</v>
      </c>
      <c r="B1692" s="142">
        <v>20</v>
      </c>
      <c r="C1692" s="143" t="s">
        <v>4256</v>
      </c>
      <c r="D1692" s="143">
        <v>1990</v>
      </c>
      <c r="E1692" s="144" t="s">
        <v>20</v>
      </c>
      <c r="F1692" s="143"/>
      <c r="G1692" s="161" t="s">
        <v>4268</v>
      </c>
      <c r="H1692" s="142" t="s">
        <v>4269</v>
      </c>
      <c r="I1692" s="143" t="s">
        <v>4270</v>
      </c>
      <c r="J1692" s="142" t="s">
        <v>4271</v>
      </c>
      <c r="K1692" s="142"/>
      <c r="L1692" s="142"/>
      <c r="M1692" s="142"/>
      <c r="N1692" s="12"/>
      <c r="O1692" s="12" t="e">
        <v>#VALUE!</v>
      </c>
      <c r="P1692" s="13" t="str">
        <f t="shared" si="27"/>
        <v/>
      </c>
      <c r="Q1692" s="158"/>
      <c r="R1692" s="142" t="s">
        <v>3422</v>
      </c>
    </row>
    <row r="1693" spans="1:18" s="139" customFormat="1" ht="28.5" customHeight="1" x14ac:dyDescent="0.15">
      <c r="A1693" s="142" t="s">
        <v>4229</v>
      </c>
      <c r="B1693" s="142">
        <v>20</v>
      </c>
      <c r="C1693" s="143" t="s">
        <v>4256</v>
      </c>
      <c r="D1693" s="143">
        <v>1990</v>
      </c>
      <c r="E1693" s="144" t="s">
        <v>20</v>
      </c>
      <c r="F1693" s="143"/>
      <c r="G1693" s="143" t="s">
        <v>4272</v>
      </c>
      <c r="H1693" s="142" t="s">
        <v>464</v>
      </c>
      <c r="I1693" s="143" t="s">
        <v>4273</v>
      </c>
      <c r="J1693" s="142" t="s">
        <v>4274</v>
      </c>
      <c r="K1693" s="142"/>
      <c r="L1693" s="142"/>
      <c r="M1693" s="142"/>
      <c r="N1693" s="12"/>
      <c r="O1693" s="12" t="e">
        <v>#VALUE!</v>
      </c>
      <c r="P1693" s="13" t="str">
        <f t="shared" si="27"/>
        <v/>
      </c>
      <c r="Q1693" s="158"/>
      <c r="R1693" s="142" t="s">
        <v>3422</v>
      </c>
    </row>
    <row r="1694" spans="1:18" s="139" customFormat="1" ht="15" customHeight="1" x14ac:dyDescent="0.15">
      <c r="A1694" s="142" t="s">
        <v>4229</v>
      </c>
      <c r="B1694" s="142">
        <v>20</v>
      </c>
      <c r="C1694" s="143" t="s">
        <v>4256</v>
      </c>
      <c r="D1694" s="143">
        <v>1990</v>
      </c>
      <c r="E1694" s="144" t="s">
        <v>20</v>
      </c>
      <c r="F1694" s="143"/>
      <c r="G1694" s="143" t="s">
        <v>4275</v>
      </c>
      <c r="H1694" s="142" t="s">
        <v>3537</v>
      </c>
      <c r="I1694" s="143" t="s">
        <v>3221</v>
      </c>
      <c r="J1694" s="142" t="s">
        <v>4276</v>
      </c>
      <c r="K1694" s="142"/>
      <c r="L1694" s="142"/>
      <c r="M1694" s="142"/>
      <c r="N1694" s="12" t="s">
        <v>4277</v>
      </c>
      <c r="O1694" s="12" t="s">
        <v>4278</v>
      </c>
      <c r="P1694" s="13" t="str">
        <f t="shared" si="27"/>
        <v>学校のあゆみ／昼生小学校のれきし</v>
      </c>
      <c r="Q1694" s="158"/>
      <c r="R1694" s="142" t="s">
        <v>3422</v>
      </c>
    </row>
    <row r="1695" spans="1:18" s="139" customFormat="1" ht="43.5" customHeight="1" x14ac:dyDescent="0.15">
      <c r="A1695" s="142" t="s">
        <v>4229</v>
      </c>
      <c r="B1695" s="142">
        <v>20</v>
      </c>
      <c r="C1695" s="143" t="s">
        <v>4256</v>
      </c>
      <c r="D1695" s="143">
        <v>1990</v>
      </c>
      <c r="E1695" s="144" t="s">
        <v>20</v>
      </c>
      <c r="F1695" s="143"/>
      <c r="G1695" s="143" t="s">
        <v>4279</v>
      </c>
      <c r="H1695" s="142" t="s">
        <v>4280</v>
      </c>
      <c r="I1695" s="143" t="s">
        <v>4281</v>
      </c>
      <c r="J1695" s="142"/>
      <c r="K1695" s="142"/>
      <c r="L1695" s="142"/>
      <c r="M1695" s="142"/>
      <c r="N1695" s="12"/>
      <c r="O1695" s="12" t="e">
        <v>#VALUE!</v>
      </c>
      <c r="P1695" s="13" t="str">
        <f t="shared" si="27"/>
        <v/>
      </c>
      <c r="Q1695" s="158"/>
      <c r="R1695" s="142" t="s">
        <v>3422</v>
      </c>
    </row>
    <row r="1696" spans="1:18" s="139" customFormat="1" ht="28.5" customHeight="1" x14ac:dyDescent="0.15">
      <c r="A1696" s="142" t="s">
        <v>4229</v>
      </c>
      <c r="B1696" s="142">
        <v>20</v>
      </c>
      <c r="C1696" s="143" t="s">
        <v>4256</v>
      </c>
      <c r="D1696" s="143">
        <v>1990</v>
      </c>
      <c r="E1696" s="144" t="s">
        <v>20</v>
      </c>
      <c r="F1696" s="143"/>
      <c r="G1696" s="143" t="s">
        <v>4282</v>
      </c>
      <c r="H1696" s="142" t="s">
        <v>2160</v>
      </c>
      <c r="I1696" s="143" t="s">
        <v>2388</v>
      </c>
      <c r="J1696" s="142" t="s">
        <v>4283</v>
      </c>
      <c r="K1696" s="142"/>
      <c r="L1696" s="142"/>
      <c r="M1696" s="142"/>
      <c r="N1696" s="12"/>
      <c r="O1696" s="12" t="e">
        <v>#VALUE!</v>
      </c>
      <c r="P1696" s="13" t="str">
        <f t="shared" si="27"/>
        <v/>
      </c>
      <c r="Q1696" s="158"/>
      <c r="R1696" s="142" t="s">
        <v>3422</v>
      </c>
    </row>
    <row r="1697" spans="1:18" s="139" customFormat="1" ht="82.5" customHeight="1" x14ac:dyDescent="0.15">
      <c r="A1697" s="142" t="s">
        <v>4229</v>
      </c>
      <c r="B1697" s="142">
        <v>20</v>
      </c>
      <c r="C1697" s="143" t="s">
        <v>4256</v>
      </c>
      <c r="D1697" s="143">
        <v>1990</v>
      </c>
      <c r="E1697" s="144" t="s">
        <v>20</v>
      </c>
      <c r="F1697" s="143"/>
      <c r="G1697" s="143" t="s">
        <v>4284</v>
      </c>
      <c r="H1697" s="142" t="s">
        <v>4285</v>
      </c>
      <c r="I1697" s="143"/>
      <c r="J1697" s="142" t="s">
        <v>4286</v>
      </c>
      <c r="K1697" s="142"/>
      <c r="L1697" s="142"/>
      <c r="M1697" s="142"/>
      <c r="N1697" s="12" t="s">
        <v>4287</v>
      </c>
      <c r="O1697" s="12" t="s">
        <v>2484</v>
      </c>
      <c r="P1697" s="13" t="str">
        <f t="shared" si="27"/>
        <v>日本の歴史の中の亀山／現代の亀山／交通と通信／バス</v>
      </c>
      <c r="Q1697" s="158"/>
      <c r="R1697" s="142" t="s">
        <v>3422</v>
      </c>
    </row>
    <row r="1698" spans="1:18" s="139" customFormat="1" ht="42.6" customHeight="1" x14ac:dyDescent="0.15">
      <c r="A1698" s="142" t="s">
        <v>4229</v>
      </c>
      <c r="B1698" s="142">
        <v>20</v>
      </c>
      <c r="C1698" s="143" t="s">
        <v>4256</v>
      </c>
      <c r="D1698" s="143">
        <v>1990</v>
      </c>
      <c r="E1698" s="144" t="s">
        <v>20</v>
      </c>
      <c r="F1698" s="143"/>
      <c r="G1698" s="143" t="s">
        <v>4288</v>
      </c>
      <c r="H1698" s="142"/>
      <c r="I1698" s="143"/>
      <c r="J1698" s="142"/>
      <c r="K1698" s="142"/>
      <c r="L1698" s="142"/>
      <c r="M1698" s="142"/>
      <c r="N1698" s="12"/>
      <c r="O1698" s="12" t="e">
        <v>#VALUE!</v>
      </c>
      <c r="P1698" s="13" t="str">
        <f t="shared" si="27"/>
        <v/>
      </c>
      <c r="Q1698" s="158"/>
      <c r="R1698" s="142" t="s">
        <v>3422</v>
      </c>
    </row>
    <row r="1699" spans="1:18" s="139" customFormat="1" ht="28.5" customHeight="1" x14ac:dyDescent="0.15">
      <c r="A1699" s="142" t="s">
        <v>4229</v>
      </c>
      <c r="B1699" s="142">
        <v>20</v>
      </c>
      <c r="C1699" s="143" t="s">
        <v>4256</v>
      </c>
      <c r="D1699" s="143">
        <v>1990</v>
      </c>
      <c r="E1699" s="144" t="s">
        <v>20</v>
      </c>
      <c r="F1699" s="143"/>
      <c r="G1699" s="143" t="s">
        <v>4289</v>
      </c>
      <c r="H1699" s="142"/>
      <c r="I1699" s="143"/>
      <c r="J1699" s="142"/>
      <c r="K1699" s="142"/>
      <c r="L1699" s="142"/>
      <c r="M1699" s="142"/>
      <c r="N1699" s="12" t="s">
        <v>4287</v>
      </c>
      <c r="O1699" s="12" t="s">
        <v>2484</v>
      </c>
      <c r="P1699" s="13" t="str">
        <f t="shared" si="27"/>
        <v>日本の歴史の中の亀山／現代の亀山／交通と通信／バス</v>
      </c>
      <c r="Q1699" s="158"/>
      <c r="R1699" s="142" t="s">
        <v>3422</v>
      </c>
    </row>
    <row r="1700" spans="1:18" s="139" customFormat="1" ht="28.5" customHeight="1" x14ac:dyDescent="0.15">
      <c r="A1700" s="142" t="s">
        <v>4229</v>
      </c>
      <c r="B1700" s="142">
        <v>20</v>
      </c>
      <c r="C1700" s="143" t="s">
        <v>4256</v>
      </c>
      <c r="D1700" s="143">
        <v>1990</v>
      </c>
      <c r="E1700" s="144" t="s">
        <v>20</v>
      </c>
      <c r="F1700" s="143"/>
      <c r="G1700" s="143" t="s">
        <v>4290</v>
      </c>
      <c r="H1700" s="142"/>
      <c r="I1700" s="143"/>
      <c r="J1700" s="142"/>
      <c r="K1700" s="142"/>
      <c r="L1700" s="142"/>
      <c r="M1700" s="142"/>
      <c r="N1700" s="12"/>
      <c r="O1700" s="12" t="e">
        <v>#VALUE!</v>
      </c>
      <c r="P1700" s="13" t="str">
        <f t="shared" si="27"/>
        <v/>
      </c>
      <c r="Q1700" s="158"/>
      <c r="R1700" s="142" t="s">
        <v>3422</v>
      </c>
    </row>
    <row r="1701" spans="1:18" s="139" customFormat="1" ht="78.599999999999994" customHeight="1" x14ac:dyDescent="0.15">
      <c r="A1701" s="142" t="s">
        <v>4229</v>
      </c>
      <c r="B1701" s="142">
        <v>20</v>
      </c>
      <c r="C1701" s="143" t="s">
        <v>4256</v>
      </c>
      <c r="D1701" s="143">
        <v>1990</v>
      </c>
      <c r="E1701" s="144" t="s">
        <v>20</v>
      </c>
      <c r="F1701" s="143"/>
      <c r="G1701" s="143" t="s">
        <v>4291</v>
      </c>
      <c r="H1701" s="142" t="s">
        <v>464</v>
      </c>
      <c r="I1701" s="143" t="s">
        <v>1600</v>
      </c>
      <c r="J1701" s="142" t="s">
        <v>4292</v>
      </c>
      <c r="K1701" s="142"/>
      <c r="L1701" s="142"/>
      <c r="M1701" s="142"/>
      <c r="N1701" s="12" t="s">
        <v>4293</v>
      </c>
      <c r="O1701" s="12" t="s">
        <v>4294</v>
      </c>
      <c r="P1701" s="13" t="str">
        <f t="shared" si="27"/>
        <v>日本の歴史の中の亀山／現代の亀山／教育と医療・福祉／老人ホーム</v>
      </c>
      <c r="Q1701" s="158"/>
      <c r="R1701" s="142" t="s">
        <v>4295</v>
      </c>
    </row>
    <row r="1702" spans="1:18" s="139" customFormat="1" ht="34.5" customHeight="1" x14ac:dyDescent="0.15">
      <c r="A1702" s="142" t="s">
        <v>4229</v>
      </c>
      <c r="B1702" s="142">
        <v>20</v>
      </c>
      <c r="C1702" s="143" t="s">
        <v>4256</v>
      </c>
      <c r="D1702" s="143">
        <v>1990</v>
      </c>
      <c r="E1702" s="144" t="s">
        <v>20</v>
      </c>
      <c r="F1702" s="143"/>
      <c r="G1702" s="143" t="s">
        <v>4296</v>
      </c>
      <c r="H1702" s="142" t="s">
        <v>2191</v>
      </c>
      <c r="I1702" s="143" t="s">
        <v>3995</v>
      </c>
      <c r="J1702" s="142" t="s">
        <v>4297</v>
      </c>
      <c r="K1702" s="142"/>
      <c r="L1702" s="142"/>
      <c r="M1702" s="142"/>
      <c r="N1702" s="12" t="s">
        <v>2700</v>
      </c>
      <c r="O1702" s="12" t="s">
        <v>2421</v>
      </c>
      <c r="P1702" s="13" t="str">
        <f t="shared" si="27"/>
        <v>日本の歴史の中の亀山／現代の亀山／教育と医療・福祉／幼稚園</v>
      </c>
      <c r="Q1702" s="158"/>
      <c r="R1702" s="142" t="s">
        <v>4298</v>
      </c>
    </row>
    <row r="1703" spans="1:18" s="139" customFormat="1" ht="28.5" customHeight="1" x14ac:dyDescent="0.15">
      <c r="A1703" s="142" t="s">
        <v>4229</v>
      </c>
      <c r="B1703" s="142">
        <v>20</v>
      </c>
      <c r="C1703" s="143" t="s">
        <v>4256</v>
      </c>
      <c r="D1703" s="143">
        <v>1990</v>
      </c>
      <c r="E1703" s="144" t="s">
        <v>20</v>
      </c>
      <c r="F1703" s="143"/>
      <c r="G1703" s="143" t="s">
        <v>4299</v>
      </c>
      <c r="H1703" s="142" t="s">
        <v>4300</v>
      </c>
      <c r="I1703" s="143"/>
      <c r="J1703" s="142" t="s">
        <v>4301</v>
      </c>
      <c r="K1703" s="142"/>
      <c r="L1703" s="142"/>
      <c r="M1703" s="142"/>
      <c r="N1703" s="12"/>
      <c r="O1703" s="12" t="e">
        <v>#VALUE!</v>
      </c>
      <c r="P1703" s="13" t="str">
        <f t="shared" si="27"/>
        <v/>
      </c>
      <c r="Q1703" s="158"/>
      <c r="R1703" s="142" t="s">
        <v>3422</v>
      </c>
    </row>
    <row r="1704" spans="1:18" s="139" customFormat="1" ht="72" customHeight="1" x14ac:dyDescent="0.15">
      <c r="A1704" s="142" t="s">
        <v>4229</v>
      </c>
      <c r="B1704" s="142">
        <v>20</v>
      </c>
      <c r="C1704" s="143" t="s">
        <v>4256</v>
      </c>
      <c r="D1704" s="143">
        <v>1990</v>
      </c>
      <c r="E1704" s="144" t="s">
        <v>34</v>
      </c>
      <c r="F1704" s="143"/>
      <c r="G1704" s="143" t="s">
        <v>4302</v>
      </c>
      <c r="H1704" s="142" t="s">
        <v>4303</v>
      </c>
      <c r="I1704" s="143" t="s">
        <v>4304</v>
      </c>
      <c r="J1704" s="82" t="str">
        <f>HYPERLINK("http://kameyamarekihaku.jp/sisi/koukoHP/archives/nisino1/01/01-01/gi.html?pf=NISIN10101-01-003.JPG&amp;pn=%E8%A5%BF%E9%87%8E%E9%81%BA%E8%B7%A1","西野遺跡")</f>
        <v>西野遺跡</v>
      </c>
      <c r="K1704" s="142"/>
      <c r="L1704" s="142" t="s">
        <v>4305</v>
      </c>
      <c r="M1704" s="142"/>
      <c r="N1704" s="29"/>
      <c r="O1704" s="29" t="e">
        <v>#VALUE!</v>
      </c>
      <c r="P1704" s="30" t="str">
        <f t="shared" si="27"/>
        <v/>
      </c>
      <c r="Q1704" s="10" t="str">
        <f>HYPERLINK("http:/kameyamarekihaku.jp/sisi/KoukoHP/iseki.html","市史考古編遺跡一覧N0.43")</f>
        <v>市史考古編遺跡一覧N0.43</v>
      </c>
      <c r="R1704" s="142" t="s">
        <v>4306</v>
      </c>
    </row>
    <row r="1705" spans="1:18" s="139" customFormat="1" ht="28.5" customHeight="1" x14ac:dyDescent="0.15">
      <c r="A1705" s="142" t="s">
        <v>4229</v>
      </c>
      <c r="B1705" s="142">
        <v>20</v>
      </c>
      <c r="C1705" s="143" t="s">
        <v>4256</v>
      </c>
      <c r="D1705" s="143">
        <v>1990</v>
      </c>
      <c r="E1705" s="144" t="s">
        <v>20</v>
      </c>
      <c r="F1705" s="143"/>
      <c r="G1705" s="143" t="s">
        <v>4307</v>
      </c>
      <c r="H1705" s="142"/>
      <c r="I1705" s="143"/>
      <c r="J1705" s="142" t="s">
        <v>4308</v>
      </c>
      <c r="K1705" s="142"/>
      <c r="L1705" s="142"/>
      <c r="M1705" s="142"/>
      <c r="N1705" s="12"/>
      <c r="O1705" s="12" t="e">
        <v>#VALUE!</v>
      </c>
      <c r="P1705" s="13" t="str">
        <f t="shared" si="27"/>
        <v/>
      </c>
      <c r="Q1705" s="158"/>
      <c r="R1705" s="142" t="s">
        <v>3422</v>
      </c>
    </row>
    <row r="1706" spans="1:18" s="139" customFormat="1" ht="43.5" customHeight="1" x14ac:dyDescent="0.15">
      <c r="A1706" s="142" t="s">
        <v>4229</v>
      </c>
      <c r="B1706" s="142">
        <v>20</v>
      </c>
      <c r="C1706" s="143" t="s">
        <v>4256</v>
      </c>
      <c r="D1706" s="143">
        <v>1990</v>
      </c>
      <c r="E1706" s="144" t="s">
        <v>20</v>
      </c>
      <c r="F1706" s="143"/>
      <c r="G1706" s="143" t="s">
        <v>4309</v>
      </c>
      <c r="H1706" s="142" t="s">
        <v>2656</v>
      </c>
      <c r="I1706" s="143" t="s">
        <v>2544</v>
      </c>
      <c r="J1706" s="142" t="s">
        <v>4310</v>
      </c>
      <c r="K1706" s="142"/>
      <c r="L1706" s="142"/>
      <c r="M1706" s="142"/>
      <c r="N1706" s="12"/>
      <c r="O1706" s="12" t="e">
        <v>#VALUE!</v>
      </c>
      <c r="P1706" s="13" t="str">
        <f t="shared" si="27"/>
        <v/>
      </c>
      <c r="Q1706" s="158"/>
      <c r="R1706" s="142" t="s">
        <v>3422</v>
      </c>
    </row>
    <row r="1707" spans="1:18" s="139" customFormat="1" ht="52.35" customHeight="1" x14ac:dyDescent="0.15">
      <c r="A1707" s="142" t="s">
        <v>4229</v>
      </c>
      <c r="B1707" s="142">
        <v>20</v>
      </c>
      <c r="C1707" s="143" t="s">
        <v>4256</v>
      </c>
      <c r="D1707" s="143">
        <v>1990</v>
      </c>
      <c r="E1707" s="144" t="s">
        <v>34</v>
      </c>
      <c r="F1707" s="143"/>
      <c r="G1707" s="143" t="s">
        <v>4311</v>
      </c>
      <c r="H1707" s="142" t="s">
        <v>464</v>
      </c>
      <c r="I1707" s="143" t="s">
        <v>4312</v>
      </c>
      <c r="J1707" s="142"/>
      <c r="K1707" s="142" t="s">
        <v>4313</v>
      </c>
      <c r="L1707" s="142" t="s">
        <v>4314</v>
      </c>
      <c r="M1707" s="142"/>
      <c r="N1707" s="12"/>
      <c r="O1707" s="12" t="e">
        <v>#VALUE!</v>
      </c>
      <c r="P1707" s="13" t="str">
        <f t="shared" si="27"/>
        <v/>
      </c>
      <c r="Q1707" s="158"/>
      <c r="R1707" s="142" t="s">
        <v>3422</v>
      </c>
    </row>
    <row r="1708" spans="1:18" s="139" customFormat="1" ht="15" customHeight="1" x14ac:dyDescent="0.15">
      <c r="A1708" s="142" t="s">
        <v>4229</v>
      </c>
      <c r="B1708" s="142">
        <v>20</v>
      </c>
      <c r="C1708" s="143" t="s">
        <v>4256</v>
      </c>
      <c r="D1708" s="143">
        <v>1990</v>
      </c>
      <c r="E1708" s="144" t="s">
        <v>34</v>
      </c>
      <c r="F1708" s="143"/>
      <c r="G1708" s="143" t="s">
        <v>4315</v>
      </c>
      <c r="H1708" s="142" t="s">
        <v>464</v>
      </c>
      <c r="I1708" s="143" t="s">
        <v>1157</v>
      </c>
      <c r="J1708" s="142" t="s">
        <v>1086</v>
      </c>
      <c r="K1708" s="142"/>
      <c r="L1708" s="142"/>
      <c r="M1708" s="142"/>
      <c r="N1708" s="12"/>
      <c r="O1708" s="12" t="e">
        <v>#VALUE!</v>
      </c>
      <c r="P1708" s="13" t="str">
        <f t="shared" si="27"/>
        <v/>
      </c>
      <c r="Q1708" s="158"/>
      <c r="R1708" s="142" t="s">
        <v>3422</v>
      </c>
    </row>
    <row r="1709" spans="1:18" s="139" customFormat="1" ht="46.5" customHeight="1" x14ac:dyDescent="0.15">
      <c r="A1709" s="142" t="s">
        <v>4229</v>
      </c>
      <c r="B1709" s="142">
        <v>20</v>
      </c>
      <c r="C1709" s="143" t="s">
        <v>4256</v>
      </c>
      <c r="D1709" s="143">
        <v>1990</v>
      </c>
      <c r="E1709" s="144" t="s">
        <v>34</v>
      </c>
      <c r="F1709" s="143"/>
      <c r="G1709" s="143" t="s">
        <v>4316</v>
      </c>
      <c r="H1709" s="142"/>
      <c r="I1709" s="143"/>
      <c r="J1709" s="142"/>
      <c r="K1709" s="142"/>
      <c r="L1709" s="142"/>
      <c r="M1709" s="142"/>
      <c r="N1709" s="12" t="s">
        <v>234</v>
      </c>
      <c r="O1709" s="12" t="s">
        <v>111</v>
      </c>
      <c r="P1709" s="13" t="str">
        <f t="shared" si="27"/>
        <v>日本の歴史の中の亀山／古代の亀山／古代国家のあゆみと亀山／天平文化と亀山／ヤマトタケルと能褒野</v>
      </c>
      <c r="Q1709" s="158"/>
      <c r="R1709" s="142" t="s">
        <v>3422</v>
      </c>
    </row>
    <row r="1710" spans="1:18" s="139" customFormat="1" ht="27" customHeight="1" x14ac:dyDescent="0.15">
      <c r="A1710" s="145" t="s">
        <v>4229</v>
      </c>
      <c r="B1710" s="145">
        <v>20</v>
      </c>
      <c r="C1710" s="146" t="s">
        <v>4256</v>
      </c>
      <c r="D1710" s="146">
        <v>1990</v>
      </c>
      <c r="E1710" s="147" t="s">
        <v>34</v>
      </c>
      <c r="F1710" s="146"/>
      <c r="G1710" s="345" t="s">
        <v>4317</v>
      </c>
      <c r="H1710" s="145" t="s">
        <v>464</v>
      </c>
      <c r="I1710" s="146" t="s">
        <v>804</v>
      </c>
      <c r="J1710" s="71" t="str">
        <f>HYPERLINK("http://kameyamarekihaku.jp/sisi/koukoHP/archives/koujyakai1/01/06/gi.html?pf=KG106-669.JPG&amp;pn=%E7%AC%AC1%E6%AC%A1%E7%99%BA%E6%8E%98%E8%AA%BF%E6%9F%BB%E9%81%BA%E8%B7%A1%E5%85%A8%E6%99%AF%E4%B8%8A%E7%A9%BA","糀屋垣内遺跡")</f>
        <v>糀屋垣内遺跡</v>
      </c>
      <c r="K1710" s="145"/>
      <c r="L1710" s="145"/>
      <c r="M1710" s="145"/>
      <c r="N1710" s="19"/>
      <c r="O1710" s="19" t="e">
        <v>#VALUE!</v>
      </c>
      <c r="P1710" s="20" t="str">
        <f t="shared" si="27"/>
        <v/>
      </c>
      <c r="Q1710" s="21" t="str">
        <f>HYPERLINK("http:/kameyamarekihaku.jp/sisi/KoukoHP/iseki.html","市史考古編遺跡一覧N0.54")</f>
        <v>市史考古編遺跡一覧N0.54</v>
      </c>
      <c r="R1710" s="347" t="s">
        <v>4201</v>
      </c>
    </row>
    <row r="1711" spans="1:18" s="139" customFormat="1" ht="31.5" customHeight="1" x14ac:dyDescent="0.15">
      <c r="A1711" s="151"/>
      <c r="B1711" s="151"/>
      <c r="C1711" s="152"/>
      <c r="D1711" s="152"/>
      <c r="E1711" s="153"/>
      <c r="F1711" s="152"/>
      <c r="G1711" s="353"/>
      <c r="H1711" s="151"/>
      <c r="I1711" s="152"/>
      <c r="J1711" s="102"/>
      <c r="K1711" s="151"/>
      <c r="L1711" s="151"/>
      <c r="M1711" s="151"/>
      <c r="N1711" s="29"/>
      <c r="O1711" s="29" t="e">
        <v>#VALUE!</v>
      </c>
      <c r="P1711" s="30" t="str">
        <f t="shared" si="27"/>
        <v/>
      </c>
      <c r="Q1711" s="10" t="str">
        <f>HYPERLINK("http:/kameyamarekihaku.jp/sisi/KoukoHP/dai8sho.html","市史考古編第8章")</f>
        <v>市史考古編第8章</v>
      </c>
      <c r="R1711" s="348"/>
    </row>
    <row r="1712" spans="1:18" s="139" customFormat="1" ht="28.5" customHeight="1" x14ac:dyDescent="0.15">
      <c r="A1712" s="142" t="s">
        <v>4229</v>
      </c>
      <c r="B1712" s="142">
        <v>20</v>
      </c>
      <c r="C1712" s="143" t="s">
        <v>4256</v>
      </c>
      <c r="D1712" s="143">
        <v>1990</v>
      </c>
      <c r="E1712" s="144" t="s">
        <v>20</v>
      </c>
      <c r="F1712" s="143"/>
      <c r="G1712" s="143" t="s">
        <v>4318</v>
      </c>
      <c r="H1712" s="142"/>
      <c r="I1712" s="143"/>
      <c r="J1712" s="142" t="s">
        <v>4319</v>
      </c>
      <c r="K1712" s="142"/>
      <c r="L1712" s="142"/>
      <c r="M1712" s="142"/>
      <c r="N1712" s="12" t="s">
        <v>3438</v>
      </c>
      <c r="O1712" s="12" t="s">
        <v>3405</v>
      </c>
      <c r="P1712" s="13" t="str">
        <f t="shared" si="27"/>
        <v>日本の歴史の中の亀山／現代の亀山／交通と通信／道路網の整備</v>
      </c>
      <c r="Q1712" s="158"/>
      <c r="R1712" s="142" t="s">
        <v>3422</v>
      </c>
    </row>
    <row r="1713" spans="1:18" customFormat="1" ht="41.25" customHeight="1" x14ac:dyDescent="0.15">
      <c r="A1713" s="142" t="s">
        <v>4229</v>
      </c>
      <c r="B1713" s="142">
        <v>20</v>
      </c>
      <c r="C1713" s="243" t="s">
        <v>4320</v>
      </c>
      <c r="D1713" s="244">
        <v>1990</v>
      </c>
      <c r="E1713" s="144" t="s">
        <v>20</v>
      </c>
      <c r="F1713" s="245"/>
      <c r="G1713" s="120" t="s">
        <v>4321</v>
      </c>
      <c r="H1713" s="246" t="s">
        <v>199</v>
      </c>
      <c r="I1713" s="246" t="s">
        <v>347</v>
      </c>
      <c r="J1713" s="247"/>
      <c r="K1713" s="247"/>
      <c r="L1713" s="248"/>
      <c r="M1713" s="248"/>
      <c r="N1713" s="12" t="s">
        <v>3974</v>
      </c>
      <c r="O1713" s="12" t="s">
        <v>3941</v>
      </c>
      <c r="P1713" s="13" t="str">
        <f t="shared" si="27"/>
        <v>亀山のいいとこさがし／景色のよいところや歴史を知る手掛かりとなるもの／関宿のまちなみ</v>
      </c>
      <c r="Q1713" s="194"/>
      <c r="R1713" s="248" t="s">
        <v>4089</v>
      </c>
    </row>
    <row r="1714" spans="1:18" s="139" customFormat="1" ht="62.25" customHeight="1" x14ac:dyDescent="0.15">
      <c r="A1714" s="145" t="s">
        <v>4229</v>
      </c>
      <c r="B1714" s="145">
        <v>20</v>
      </c>
      <c r="C1714" s="146" t="s">
        <v>4322</v>
      </c>
      <c r="D1714" s="146">
        <v>1991</v>
      </c>
      <c r="E1714" s="147" t="s">
        <v>34</v>
      </c>
      <c r="F1714" s="146"/>
      <c r="G1714" s="345" t="s">
        <v>4323</v>
      </c>
      <c r="H1714" s="88" t="s">
        <v>122</v>
      </c>
      <c r="I1714" s="163" t="s">
        <v>2847</v>
      </c>
      <c r="J1714" s="16" t="str">
        <f>HYPERLINK("http://kameyamarekihaku.jp/sisi/koukoHP/gi/gi.htm?pf=sha1-1.jpg&amp;pn=%E5%A4%A7%E9%BC%BB%E9%81%BA%E8%B7%A1%E5%85%A8%E6%99%AF","大鼻遺跡")</f>
        <v>大鼻遺跡</v>
      </c>
      <c r="K1714" s="145"/>
      <c r="L1714" s="76" t="str">
        <f>HYPERLINK("http://kameyamarekihaku.jp/sisi/koukoHP/archives/oohana/01/01-02/gi.html?pf=OOHA01-35.JPG&amp;pn=%E5%A4%A7%E9%BC%BB%E5%BC%8F%E5%9C%9F%E5%99%A8","押型文（大鼻式）土器")</f>
        <v>押型文（大鼻式）土器</v>
      </c>
      <c r="M1714" s="145"/>
      <c r="N1714" s="310" t="s">
        <v>4233</v>
      </c>
      <c r="O1714" s="310" t="s">
        <v>44</v>
      </c>
      <c r="P1714" s="311" t="str">
        <f t="shared" si="27"/>
        <v>日本の歴史の中の亀山／古代の亀山／亀山のあけぼの／人が住み始めたころの亀山／縄文時代の暮らし／大鼻遺跡</v>
      </c>
      <c r="Q1714" s="17" t="str">
        <f>HYPERLINK("http:/kameyamarekihaku.jp/sisi/KoukoHP/iseki.html","市史考古編遺跡一覧N0.1")</f>
        <v>市史考古編遺跡一覧N0.1</v>
      </c>
      <c r="R1714" s="145" t="s">
        <v>4234</v>
      </c>
    </row>
    <row r="1715" spans="1:18" s="139" customFormat="1" ht="60.75" customHeight="1" x14ac:dyDescent="0.15">
      <c r="A1715" s="151"/>
      <c r="B1715" s="151"/>
      <c r="C1715" s="152"/>
      <c r="D1715" s="152"/>
      <c r="E1715" s="153"/>
      <c r="F1715" s="152"/>
      <c r="G1715" s="353"/>
      <c r="H1715" s="91"/>
      <c r="I1715" s="169"/>
      <c r="J1715" s="151"/>
      <c r="K1715" s="151"/>
      <c r="L1715" s="151"/>
      <c r="M1715" s="151"/>
      <c r="N1715" s="306"/>
      <c r="O1715" s="306" t="e">
        <v>#VALUE!</v>
      </c>
      <c r="P1715" s="308" t="str">
        <f t="shared" si="27"/>
        <v/>
      </c>
      <c r="Q1715" s="10" t="str">
        <f>HYPERLINK("http:/kameyamarekihaku.jp/sisi/KoukoHP/dai1sho.html","市史考古編第1章")</f>
        <v>市史考古編第1章</v>
      </c>
      <c r="R1715" s="151"/>
    </row>
    <row r="1716" spans="1:18" s="139" customFormat="1" ht="28.5" customHeight="1" x14ac:dyDescent="0.15">
      <c r="A1716" s="142" t="s">
        <v>4229</v>
      </c>
      <c r="B1716" s="142">
        <v>20</v>
      </c>
      <c r="C1716" s="143" t="s">
        <v>4322</v>
      </c>
      <c r="D1716" s="143">
        <v>1991</v>
      </c>
      <c r="E1716" s="144" t="s">
        <v>20</v>
      </c>
      <c r="F1716" s="143"/>
      <c r="G1716" s="143" t="s">
        <v>4324</v>
      </c>
      <c r="H1716" s="142" t="s">
        <v>3321</v>
      </c>
      <c r="I1716" s="143" t="s">
        <v>4325</v>
      </c>
      <c r="J1716" s="142" t="s">
        <v>4326</v>
      </c>
      <c r="K1716" s="142"/>
      <c r="L1716" s="142"/>
      <c r="M1716" s="142"/>
      <c r="N1716" s="12"/>
      <c r="O1716" s="12" t="e">
        <v>#VALUE!</v>
      </c>
      <c r="P1716" s="13" t="str">
        <f t="shared" si="27"/>
        <v/>
      </c>
      <c r="Q1716" s="158"/>
      <c r="R1716" s="142" t="s">
        <v>4327</v>
      </c>
    </row>
    <row r="1717" spans="1:18" s="139" customFormat="1" ht="36" customHeight="1" x14ac:dyDescent="0.15">
      <c r="A1717" s="145" t="s">
        <v>4229</v>
      </c>
      <c r="B1717" s="145">
        <v>20</v>
      </c>
      <c r="C1717" s="146" t="s">
        <v>4322</v>
      </c>
      <c r="D1717" s="146">
        <v>1991</v>
      </c>
      <c r="E1717" s="147" t="s">
        <v>34</v>
      </c>
      <c r="F1717" s="146"/>
      <c r="G1717" s="146" t="s">
        <v>4328</v>
      </c>
      <c r="H1717" s="145" t="s">
        <v>464</v>
      </c>
      <c r="I1717" s="146" t="s">
        <v>1833</v>
      </c>
      <c r="J1717" s="145" t="s">
        <v>4329</v>
      </c>
      <c r="K1717" s="145"/>
      <c r="L1717" s="71" t="str">
        <f>HYPERLINK("http://kameyamarekihaku.jp/sisi/koukoHP/archives/kamejyoufurusya/01/01-02/gi.html?pf=KJFRUS0102-02-002.jpg&amp;pn=%E5%8A%A0%E8%97%A4%E5%AE%B6%E9%95%B7%E5%B1%8B%E9%96%80%EF%BC%88%E6%98%AD%E5%92%8C50%E5%B9%B4%E4%BB%A3%E5%89%8D%E5%8D%8A%EF%BC%89","画像史料：長屋門（修復前）")</f>
        <v>画像史料：長屋門（修復前）</v>
      </c>
      <c r="M1717" s="76" t="str">
        <f>HYPERLINK("http://kameyamarekihaku.jp/sisi/koukoHP/archives/kamejyougennjyo/01/01-03/gi.html?pf=KJGNJY0103-03-008.JPG&amp;pn=%E8%A5%BF%E4%B9%8B%E4%B8%B8%E5%8A%A0%E8%97%A4%E5%AE%B6%E5%B1%8B%E6%95%B7","西之丸加藤家屋敷")</f>
        <v>西之丸加藤家屋敷</v>
      </c>
      <c r="N1717" s="32" t="s">
        <v>4199</v>
      </c>
      <c r="O1717" s="32" t="s">
        <v>4200</v>
      </c>
      <c r="P1717" s="33" t="str">
        <f t="shared" si="27"/>
        <v>亀山城と宿場／亀山城のつくり／家臣の住むところ</v>
      </c>
      <c r="Q1717" s="38" t="str">
        <f>HYPERLINK("http://kameyamarekihaku.jp/raikan_demae/140620_nisi_syo.html","西小6年地域素材の教材化実践例「亀山の史跡を知ろう」")</f>
        <v>西小6年地域素材の教材化実践例「亀山の史跡を知ろう」</v>
      </c>
      <c r="R1717" s="160" t="s">
        <v>4330</v>
      </c>
    </row>
    <row r="1718" spans="1:18" s="139" customFormat="1" ht="33.75" customHeight="1" x14ac:dyDescent="0.15">
      <c r="A1718" s="151"/>
      <c r="B1718" s="151"/>
      <c r="C1718" s="152"/>
      <c r="D1718" s="152"/>
      <c r="E1718" s="153"/>
      <c r="F1718" s="152"/>
      <c r="G1718" s="152"/>
      <c r="H1718" s="151"/>
      <c r="I1718" s="152"/>
      <c r="J1718" s="151"/>
      <c r="K1718" s="151"/>
      <c r="L1718" s="102"/>
      <c r="M1718" s="151"/>
      <c r="N1718" s="29" t="s">
        <v>1083</v>
      </c>
      <c r="O1718" s="29" t="s">
        <v>774</v>
      </c>
      <c r="P1718" s="30" t="str">
        <f t="shared" si="27"/>
        <v>亀山のいいとこさがし／建物</v>
      </c>
      <c r="Q1718" s="10" t="str">
        <f>HYPERLINK("http://www.kameyamarekihaku.jp/sisi/seckam3/chizushiro.php","市史考古分野(各コンテンツ)「亀山城跡を歩く」No.22")</f>
        <v>市史考古分野(各コンテンツ)「亀山城跡を歩く」No.22</v>
      </c>
      <c r="R1718" s="157"/>
    </row>
    <row r="1719" spans="1:18" s="139" customFormat="1" ht="15" customHeight="1" x14ac:dyDescent="0.15">
      <c r="A1719" s="142" t="s">
        <v>4229</v>
      </c>
      <c r="B1719" s="142">
        <v>20</v>
      </c>
      <c r="C1719" s="143" t="s">
        <v>4322</v>
      </c>
      <c r="D1719" s="143">
        <v>1991</v>
      </c>
      <c r="E1719" s="144" t="s">
        <v>20</v>
      </c>
      <c r="F1719" s="143"/>
      <c r="G1719" s="143" t="s">
        <v>4331</v>
      </c>
      <c r="H1719" s="142" t="s">
        <v>464</v>
      </c>
      <c r="I1719" s="175" t="s">
        <v>4332</v>
      </c>
      <c r="J1719" s="142" t="s">
        <v>4333</v>
      </c>
      <c r="K1719" s="142"/>
      <c r="L1719" s="142"/>
      <c r="M1719" s="142"/>
      <c r="N1719" s="12"/>
      <c r="O1719" s="12" t="e">
        <v>#VALUE!</v>
      </c>
      <c r="P1719" s="13" t="str">
        <f t="shared" si="27"/>
        <v/>
      </c>
      <c r="Q1719" s="158"/>
      <c r="R1719" s="142" t="s">
        <v>3422</v>
      </c>
    </row>
    <row r="1720" spans="1:18" s="139" customFormat="1" ht="15" customHeight="1" x14ac:dyDescent="0.15">
      <c r="A1720" s="142" t="s">
        <v>4229</v>
      </c>
      <c r="B1720" s="142">
        <v>20</v>
      </c>
      <c r="C1720" s="143" t="s">
        <v>4322</v>
      </c>
      <c r="D1720" s="143">
        <v>1991</v>
      </c>
      <c r="E1720" s="144" t="s">
        <v>20</v>
      </c>
      <c r="F1720" s="143"/>
      <c r="G1720" s="143" t="s">
        <v>4334</v>
      </c>
      <c r="H1720" s="142" t="s">
        <v>2160</v>
      </c>
      <c r="I1720" s="175" t="s">
        <v>4335</v>
      </c>
      <c r="J1720" s="142" t="s">
        <v>4336</v>
      </c>
      <c r="K1720" s="142"/>
      <c r="L1720" s="142"/>
      <c r="M1720" s="142"/>
      <c r="N1720" s="12"/>
      <c r="O1720" s="12" t="e">
        <v>#VALUE!</v>
      </c>
      <c r="P1720" s="13" t="str">
        <f t="shared" si="27"/>
        <v/>
      </c>
      <c r="Q1720" s="158"/>
      <c r="R1720" s="142" t="s">
        <v>3422</v>
      </c>
    </row>
    <row r="1721" spans="1:18" s="139" customFormat="1" ht="28.5" customHeight="1" x14ac:dyDescent="0.15">
      <c r="A1721" s="142" t="s">
        <v>4229</v>
      </c>
      <c r="B1721" s="142">
        <v>20</v>
      </c>
      <c r="C1721" s="143" t="s">
        <v>4322</v>
      </c>
      <c r="D1721" s="143">
        <v>1991</v>
      </c>
      <c r="E1721" s="144" t="s">
        <v>34</v>
      </c>
      <c r="F1721" s="143"/>
      <c r="G1721" s="143" t="s">
        <v>4337</v>
      </c>
      <c r="H1721" s="142" t="s">
        <v>464</v>
      </c>
      <c r="I1721" s="175" t="s">
        <v>1157</v>
      </c>
      <c r="J1721" s="82" t="str">
        <f>HYPERLINK("http://kameyamarekihaku.jp/sisi/KoukoHP/archives/kamejyougennjyo/01/01-06/gi.html?pf=KJGNJY0106-06-005.JPG&amp;pn=%E6%9C%AC%E4%B8%B8%E5%8D%97%E6%A8%A1%E6%93%AC%E5%BE%A9%E5%85%83%E5%9C%9F%E5%A1%80","亀山城跡")</f>
        <v>亀山城跡</v>
      </c>
      <c r="K1721" s="142"/>
      <c r="L1721" s="142"/>
      <c r="M1721" s="142"/>
      <c r="N1721" s="12"/>
      <c r="O1721" s="12" t="e">
        <v>#VALUE!</v>
      </c>
      <c r="P1721" s="13" t="str">
        <f t="shared" si="27"/>
        <v/>
      </c>
      <c r="Q1721" s="158"/>
      <c r="R1721" s="142" t="s">
        <v>4338</v>
      </c>
    </row>
    <row r="1722" spans="1:18" s="139" customFormat="1" ht="56.25" customHeight="1" x14ac:dyDescent="0.15">
      <c r="A1722" s="142" t="s">
        <v>4229</v>
      </c>
      <c r="B1722" s="142">
        <v>20</v>
      </c>
      <c r="C1722" s="143" t="s">
        <v>4322</v>
      </c>
      <c r="D1722" s="143">
        <v>1991</v>
      </c>
      <c r="E1722" s="144" t="s">
        <v>20</v>
      </c>
      <c r="F1722" s="143"/>
      <c r="G1722" s="143" t="s">
        <v>4339</v>
      </c>
      <c r="H1722" s="142"/>
      <c r="I1722" s="175" t="s">
        <v>1833</v>
      </c>
      <c r="J1722" s="142" t="s">
        <v>4340</v>
      </c>
      <c r="K1722" s="142"/>
      <c r="L1722" s="142"/>
      <c r="M1722" s="142"/>
      <c r="N1722" s="12" t="s">
        <v>4341</v>
      </c>
      <c r="O1722" s="12" t="s">
        <v>2787</v>
      </c>
      <c r="P1722" s="13" t="str">
        <f t="shared" si="27"/>
        <v>学校のあゆみ／亀山中学校のれきし</v>
      </c>
      <c r="Q1722" s="158"/>
      <c r="R1722" s="142" t="s">
        <v>4342</v>
      </c>
    </row>
    <row r="1723" spans="1:18" s="139" customFormat="1" ht="28.15" customHeight="1" x14ac:dyDescent="0.15">
      <c r="A1723" s="142" t="s">
        <v>4229</v>
      </c>
      <c r="B1723" s="142">
        <v>20</v>
      </c>
      <c r="C1723" s="143" t="s">
        <v>4322</v>
      </c>
      <c r="D1723" s="143">
        <v>1991</v>
      </c>
      <c r="E1723" s="144" t="s">
        <v>20</v>
      </c>
      <c r="F1723" s="143"/>
      <c r="G1723" s="143" t="s">
        <v>4343</v>
      </c>
      <c r="H1723" s="142"/>
      <c r="I1723" s="143"/>
      <c r="J1723" s="142"/>
      <c r="K1723" s="142"/>
      <c r="L1723" s="142"/>
      <c r="M1723" s="142"/>
      <c r="N1723" s="12"/>
      <c r="O1723" s="12" t="e">
        <v>#VALUE!</v>
      </c>
      <c r="P1723" s="13" t="str">
        <f t="shared" si="27"/>
        <v/>
      </c>
      <c r="Q1723" s="158"/>
      <c r="R1723" s="142" t="s">
        <v>3422</v>
      </c>
    </row>
    <row r="1724" spans="1:18" s="139" customFormat="1" ht="15" customHeight="1" x14ac:dyDescent="0.15">
      <c r="A1724" s="142" t="s">
        <v>4229</v>
      </c>
      <c r="B1724" s="142">
        <v>20</v>
      </c>
      <c r="C1724" s="143" t="s">
        <v>4322</v>
      </c>
      <c r="D1724" s="143">
        <v>1991</v>
      </c>
      <c r="E1724" s="144" t="s">
        <v>20</v>
      </c>
      <c r="F1724" s="143"/>
      <c r="G1724" s="143" t="s">
        <v>4344</v>
      </c>
      <c r="H1724" s="142"/>
      <c r="I1724" s="143"/>
      <c r="J1724" s="142"/>
      <c r="K1724" s="142"/>
      <c r="L1724" s="142"/>
      <c r="M1724" s="142"/>
      <c r="N1724" s="12"/>
      <c r="O1724" s="12" t="e">
        <v>#VALUE!</v>
      </c>
      <c r="P1724" s="13" t="str">
        <f t="shared" si="27"/>
        <v/>
      </c>
      <c r="Q1724" s="158"/>
      <c r="R1724" s="142" t="s">
        <v>3422</v>
      </c>
    </row>
    <row r="1725" spans="1:18" s="139" customFormat="1" ht="15" customHeight="1" x14ac:dyDescent="0.15">
      <c r="A1725" s="142" t="s">
        <v>4229</v>
      </c>
      <c r="B1725" s="142">
        <v>20</v>
      </c>
      <c r="C1725" s="143" t="s">
        <v>4322</v>
      </c>
      <c r="D1725" s="143">
        <v>1991</v>
      </c>
      <c r="E1725" s="144" t="s">
        <v>20</v>
      </c>
      <c r="F1725" s="143"/>
      <c r="G1725" s="143" t="s">
        <v>4345</v>
      </c>
      <c r="H1725" s="142" t="s">
        <v>122</v>
      </c>
      <c r="I1725" s="143" t="s">
        <v>4205</v>
      </c>
      <c r="J1725" s="142" t="s">
        <v>4206</v>
      </c>
      <c r="K1725" s="142"/>
      <c r="L1725" s="142"/>
      <c r="M1725" s="142"/>
      <c r="N1725" s="12"/>
      <c r="O1725" s="12" t="e">
        <v>#VALUE!</v>
      </c>
      <c r="P1725" s="13" t="str">
        <f t="shared" si="27"/>
        <v/>
      </c>
      <c r="Q1725" s="158"/>
      <c r="R1725" s="142" t="s">
        <v>3422</v>
      </c>
    </row>
    <row r="1726" spans="1:18" s="139" customFormat="1" ht="28.5" customHeight="1" x14ac:dyDescent="0.15">
      <c r="A1726" s="145" t="s">
        <v>4229</v>
      </c>
      <c r="B1726" s="145">
        <v>20</v>
      </c>
      <c r="C1726" s="146" t="s">
        <v>4322</v>
      </c>
      <c r="D1726" s="146">
        <v>1991</v>
      </c>
      <c r="E1726" s="147" t="s">
        <v>34</v>
      </c>
      <c r="F1726" s="146"/>
      <c r="G1726" s="146" t="s">
        <v>4346</v>
      </c>
      <c r="H1726" s="145" t="s">
        <v>464</v>
      </c>
      <c r="I1726" s="146" t="s">
        <v>4347</v>
      </c>
      <c r="J1726" s="71" t="str">
        <f>HYPERLINK("http://kameyamarekihaku.jp/sisi/koukoHP/archives/kamejyougennjyo/01/01-03/gi.html?pf=KJGNJY0103-03-008.JPG&amp;pn=%E8%A5%BF%E4%B9%8B%E4%B8%B8%E5%8A%A0%E8%97%A4%E5%AE%B6%E5%B1%8B%E6%95%B7","亀山城跡と侍屋敷周辺")</f>
        <v>亀山城跡と侍屋敷周辺</v>
      </c>
      <c r="K1726" s="145"/>
      <c r="M1726" s="71" t="str">
        <f>HYPERLINK("http://kameyamarekihaku.jp/sisi/koukoHP/archives/kamejyougennjyo/01/01-01/gi.html?pf=KJGNJY0101-01-036.JPG&amp;pn=%E8%A5%BF%E7%94%BA%EF%BC%88%E6%B1%A0%E3%81%AE%E5%81%B4%EF%BC%89","西町（池の側）")</f>
        <v>西町（池の側）</v>
      </c>
      <c r="N1726" s="32" t="s">
        <v>4348</v>
      </c>
      <c r="O1726" s="32" t="s">
        <v>4200</v>
      </c>
      <c r="P1726" s="33" t="str">
        <f t="shared" si="27"/>
        <v>亀山城と宿場／亀山城のつくり／家臣の住むところ</v>
      </c>
      <c r="Q1726" s="17" t="str">
        <f>HYPERLINK("http:/kameyamarekihaku.jp/sisi/koukoHP/archives/koukodb16.html","亀山市遺跡アーカイブス　亀山城跡関係データ")</f>
        <v>亀山市遺跡アーカイブス　亀山城跡関係データ</v>
      </c>
      <c r="R1726" s="145" t="s">
        <v>4201</v>
      </c>
    </row>
    <row r="1727" spans="1:18" s="139" customFormat="1" ht="28.5" customHeight="1" x14ac:dyDescent="0.15">
      <c r="A1727" s="136"/>
      <c r="B1727" s="136"/>
      <c r="C1727" s="137"/>
      <c r="D1727" s="137"/>
      <c r="E1727" s="138"/>
      <c r="F1727" s="137"/>
      <c r="G1727" s="137"/>
      <c r="H1727" s="136"/>
      <c r="I1727" s="137"/>
      <c r="J1727" s="76"/>
      <c r="K1727" s="136"/>
      <c r="L1727" s="76"/>
      <c r="M1727" s="136"/>
      <c r="N1727" s="19" t="s">
        <v>1083</v>
      </c>
      <c r="O1727" s="19" t="s">
        <v>774</v>
      </c>
      <c r="P1727" s="20" t="str">
        <f t="shared" si="27"/>
        <v>亀山のいいとこさがし／建物</v>
      </c>
      <c r="Q1727" s="21" t="str">
        <f>HYPERLINK("http://www.kameyamarekihaku.jp/sisi/seckam3/chizukouko.php","市史考古分野(各コンテンツ)「亀山城下町を歩く」No.36")</f>
        <v>市史考古分野(各コンテンツ)「亀山城下町を歩く」No.36</v>
      </c>
      <c r="R1727" s="136"/>
    </row>
    <row r="1728" spans="1:18" s="139" customFormat="1" ht="33.75" customHeight="1" x14ac:dyDescent="0.15">
      <c r="A1728" s="151"/>
      <c r="B1728" s="151"/>
      <c r="C1728" s="152"/>
      <c r="D1728" s="152"/>
      <c r="E1728" s="153"/>
      <c r="F1728" s="152"/>
      <c r="G1728" s="152"/>
      <c r="H1728" s="151"/>
      <c r="I1728" s="152"/>
      <c r="J1728" s="102"/>
      <c r="K1728" s="151"/>
      <c r="L1728" s="102"/>
      <c r="M1728" s="151"/>
      <c r="N1728" s="29"/>
      <c r="O1728" s="29" t="e">
        <v>#VALUE!</v>
      </c>
      <c r="P1728" s="30" t="str">
        <f t="shared" si="27"/>
        <v/>
      </c>
      <c r="Q1728" s="10" t="str">
        <f>HYPERLINK("http://www.kameyamarekihaku.jp/sisi/seckam3/chizushiro.php","市史考古分野(各コンテンツ)「亀山城跡を歩く」No.22")</f>
        <v>市史考古分野(各コンテンツ)「亀山城跡を歩く」No.22</v>
      </c>
      <c r="R1728" s="151"/>
    </row>
    <row r="1729" spans="1:18" s="139" customFormat="1" ht="43.5" customHeight="1" x14ac:dyDescent="0.15">
      <c r="A1729" s="142" t="s">
        <v>4229</v>
      </c>
      <c r="B1729" s="142">
        <v>20</v>
      </c>
      <c r="C1729" s="143" t="s">
        <v>4322</v>
      </c>
      <c r="D1729" s="143">
        <v>1991</v>
      </c>
      <c r="E1729" s="144" t="s">
        <v>20</v>
      </c>
      <c r="F1729" s="143"/>
      <c r="G1729" s="143" t="s">
        <v>4349</v>
      </c>
      <c r="H1729" s="142"/>
      <c r="I1729" s="143"/>
      <c r="J1729" s="142"/>
      <c r="K1729" s="158"/>
      <c r="L1729" s="142"/>
      <c r="M1729" s="142"/>
      <c r="N1729" s="12"/>
      <c r="O1729" s="12" t="e">
        <v>#VALUE!</v>
      </c>
      <c r="P1729" s="13" t="str">
        <f t="shared" si="27"/>
        <v/>
      </c>
      <c r="Q1729" s="158"/>
      <c r="R1729" s="142" t="s">
        <v>3422</v>
      </c>
    </row>
    <row r="1730" spans="1:18" s="139" customFormat="1" ht="27" customHeight="1" x14ac:dyDescent="0.15">
      <c r="A1730" s="145" t="s">
        <v>4229</v>
      </c>
      <c r="B1730" s="145">
        <v>20</v>
      </c>
      <c r="C1730" s="146" t="s">
        <v>4322</v>
      </c>
      <c r="D1730" s="146">
        <v>1991</v>
      </c>
      <c r="E1730" s="147" t="s">
        <v>34</v>
      </c>
      <c r="F1730" s="146"/>
      <c r="G1730" s="146" t="s">
        <v>4350</v>
      </c>
      <c r="H1730" s="145" t="s">
        <v>122</v>
      </c>
      <c r="I1730" s="146" t="s">
        <v>55</v>
      </c>
      <c r="J1730" s="71" t="str">
        <f>HYPERLINK("http://kameyamarekihaku.jp/sisi/KoukoHP/archives/ookaito1/01/01-02/gi.html?pf=OOKA0102-02-012.JPG&amp;pn=%E8%AA%BF%E6%9F%BB%E5%8C%BA%E5%AE%8C%E6%8E%98%E7%8A%B6%E6%B3%81%20","大垣内遺跡")</f>
        <v>大垣内遺跡</v>
      </c>
      <c r="K1730" s="145"/>
      <c r="L1730" s="145" t="s">
        <v>4351</v>
      </c>
      <c r="M1730" s="145"/>
      <c r="N1730" s="19"/>
      <c r="O1730" s="19" t="e">
        <v>#VALUE!</v>
      </c>
      <c r="P1730" s="20" t="str">
        <f t="shared" si="27"/>
        <v/>
      </c>
      <c r="Q1730" s="21" t="str">
        <f>HYPERLINK("http:/kameyamarekihaku.jp/sisi/KoukoHP/iseki.html","市史考古編遺跡一覧N0.5")</f>
        <v>市史考古編遺跡一覧N0.5</v>
      </c>
      <c r="R1730" s="145" t="s">
        <v>4352</v>
      </c>
    </row>
    <row r="1731" spans="1:18" s="139" customFormat="1" ht="29.25" customHeight="1" x14ac:dyDescent="0.15">
      <c r="A1731" s="136"/>
      <c r="B1731" s="136"/>
      <c r="C1731" s="137"/>
      <c r="D1731" s="137"/>
      <c r="E1731" s="138"/>
      <c r="F1731" s="137"/>
      <c r="G1731" s="137"/>
      <c r="H1731" s="136"/>
      <c r="I1731" s="137"/>
      <c r="J1731" s="76"/>
      <c r="K1731" s="136"/>
      <c r="L1731" s="383" t="str">
        <f>HYPERLINK("http://kameyamarekihaku.jp/yane_no_nai/unit_leaf/A-7.pdf","歴博貸出ユニットA－７")</f>
        <v>歴博貸出ユニットA－７</v>
      </c>
      <c r="M1731" s="136"/>
      <c r="N1731" s="19"/>
      <c r="O1731" s="19" t="e">
        <v>#VALUE!</v>
      </c>
      <c r="P1731" s="20" t="str">
        <f t="shared" si="27"/>
        <v/>
      </c>
      <c r="Q1731" s="28" t="str">
        <f>HYPERLINK("http://kameyamarekihaku.jp/raikan_demae/140516_higasi_syo.html","東小6年出前授業実践例「大和朝廷と渡来人のかつやく」")</f>
        <v>東小6年出前授業実践例「大和朝廷と渡来人のかつやく」</v>
      </c>
      <c r="R1731" s="136"/>
    </row>
    <row r="1732" spans="1:18" s="139" customFormat="1" ht="29.25" customHeight="1" x14ac:dyDescent="0.15">
      <c r="A1732" s="151"/>
      <c r="B1732" s="151"/>
      <c r="C1732" s="152"/>
      <c r="D1732" s="152"/>
      <c r="E1732" s="153"/>
      <c r="F1732" s="152"/>
      <c r="G1732" s="152"/>
      <c r="H1732" s="151"/>
      <c r="I1732" s="152"/>
      <c r="J1732" s="102"/>
      <c r="K1732" s="151"/>
      <c r="L1732" s="384"/>
      <c r="M1732" s="151"/>
      <c r="N1732" s="29"/>
      <c r="O1732" s="29" t="e">
        <v>#VALUE!</v>
      </c>
      <c r="P1732" s="30" t="str">
        <f t="shared" si="27"/>
        <v/>
      </c>
      <c r="Q1732" s="31" t="str">
        <f>HYPERLINK("http://kameyamarekihaku.jp/raikan_demae/140428_sirakawa_syo.html","白川小6年出前授業実践例「亀山の古代を探る」")</f>
        <v>白川小6年出前授業実践例「亀山の古代を探る」</v>
      </c>
      <c r="R1732" s="151"/>
    </row>
    <row r="1733" spans="1:18" s="139" customFormat="1" ht="70.150000000000006" customHeight="1" x14ac:dyDescent="0.15">
      <c r="A1733" s="142" t="s">
        <v>4229</v>
      </c>
      <c r="B1733" s="142">
        <v>20</v>
      </c>
      <c r="C1733" s="143" t="s">
        <v>4322</v>
      </c>
      <c r="D1733" s="143">
        <v>1991</v>
      </c>
      <c r="E1733" s="144" t="s">
        <v>20</v>
      </c>
      <c r="F1733" s="143"/>
      <c r="G1733" s="161" t="s">
        <v>4353</v>
      </c>
      <c r="H1733" s="142" t="s">
        <v>250</v>
      </c>
      <c r="I1733" s="143" t="s">
        <v>4354</v>
      </c>
      <c r="J1733" s="142"/>
      <c r="K1733" s="142"/>
      <c r="L1733" s="142"/>
      <c r="M1733" s="142"/>
      <c r="N1733" s="23"/>
      <c r="O1733" s="23" t="e">
        <v>#VALUE!</v>
      </c>
      <c r="P1733" s="24" t="str">
        <f t="shared" ref="P1733:P1796" si="28">IFERROR(HYPERLINK(O1733,N1733),"")</f>
        <v/>
      </c>
      <c r="Q1733" s="272"/>
      <c r="R1733" s="142" t="s">
        <v>3422</v>
      </c>
    </row>
    <row r="1734" spans="1:18" s="139" customFormat="1" ht="28.5" customHeight="1" x14ac:dyDescent="0.15">
      <c r="A1734" s="142" t="s">
        <v>4229</v>
      </c>
      <c r="B1734" s="142">
        <v>20</v>
      </c>
      <c r="C1734" s="143" t="s">
        <v>4322</v>
      </c>
      <c r="D1734" s="143">
        <v>1991</v>
      </c>
      <c r="E1734" s="144" t="s">
        <v>20</v>
      </c>
      <c r="F1734" s="143"/>
      <c r="G1734" s="143" t="s">
        <v>4355</v>
      </c>
      <c r="H1734" s="142"/>
      <c r="I1734" s="143"/>
      <c r="J1734" s="142"/>
      <c r="K1734" s="142"/>
      <c r="L1734" s="142"/>
      <c r="M1734" s="142"/>
      <c r="N1734" s="12"/>
      <c r="O1734" s="12" t="e">
        <v>#VALUE!</v>
      </c>
      <c r="P1734" s="13" t="str">
        <f t="shared" si="28"/>
        <v/>
      </c>
      <c r="Q1734" s="158"/>
      <c r="R1734" s="142" t="s">
        <v>3422</v>
      </c>
    </row>
    <row r="1735" spans="1:18" s="139" customFormat="1" ht="28.5" customHeight="1" x14ac:dyDescent="0.15">
      <c r="A1735" s="142" t="s">
        <v>4229</v>
      </c>
      <c r="B1735" s="142">
        <v>20</v>
      </c>
      <c r="C1735" s="143" t="s">
        <v>4322</v>
      </c>
      <c r="D1735" s="143">
        <v>1991</v>
      </c>
      <c r="E1735" s="144" t="s">
        <v>20</v>
      </c>
      <c r="F1735" s="143"/>
      <c r="G1735" s="143" t="s">
        <v>4356</v>
      </c>
      <c r="H1735" s="142"/>
      <c r="I1735" s="143"/>
      <c r="J1735" s="142"/>
      <c r="K1735" s="142"/>
      <c r="L1735" s="142"/>
      <c r="M1735" s="142"/>
      <c r="N1735" s="12"/>
      <c r="O1735" s="12" t="e">
        <v>#VALUE!</v>
      </c>
      <c r="P1735" s="13" t="str">
        <f t="shared" si="28"/>
        <v/>
      </c>
      <c r="Q1735" s="158"/>
      <c r="R1735" s="142" t="s">
        <v>3422</v>
      </c>
    </row>
    <row r="1736" spans="1:18" s="139" customFormat="1" ht="33.75" customHeight="1" x14ac:dyDescent="0.15">
      <c r="A1736" s="145" t="s">
        <v>4229</v>
      </c>
      <c r="B1736" s="145">
        <v>20</v>
      </c>
      <c r="C1736" s="146" t="s">
        <v>4322</v>
      </c>
      <c r="D1736" s="146">
        <v>1991</v>
      </c>
      <c r="E1736" s="147" t="s">
        <v>20</v>
      </c>
      <c r="F1736" s="146"/>
      <c r="G1736" s="146" t="s">
        <v>4357</v>
      </c>
      <c r="H1736" s="145"/>
      <c r="I1736" s="146"/>
      <c r="J1736" s="145"/>
      <c r="K1736" s="145"/>
      <c r="L1736" s="145"/>
      <c r="M1736" s="145"/>
      <c r="N1736" s="34" t="s">
        <v>4358</v>
      </c>
      <c r="O1736" s="34" t="s">
        <v>4359</v>
      </c>
      <c r="P1736" s="35" t="str">
        <f t="shared" si="28"/>
        <v>日本の歴史の中の亀山／現代の亀山／行政と政治／下水道</v>
      </c>
      <c r="Q1736" s="160"/>
      <c r="R1736" s="145" t="s">
        <v>4360</v>
      </c>
    </row>
    <row r="1737" spans="1:18" s="139" customFormat="1" ht="33.75" customHeight="1" x14ac:dyDescent="0.15">
      <c r="A1737" s="151"/>
      <c r="B1737" s="151"/>
      <c r="C1737" s="152"/>
      <c r="D1737" s="152"/>
      <c r="E1737" s="153"/>
      <c r="F1737" s="152"/>
      <c r="G1737" s="152"/>
      <c r="H1737" s="151"/>
      <c r="I1737" s="152"/>
      <c r="J1737" s="151"/>
      <c r="K1737" s="151"/>
      <c r="L1737" s="151"/>
      <c r="M1737" s="151"/>
      <c r="N1737" s="86" t="s">
        <v>4361</v>
      </c>
      <c r="O1737" s="86" t="s">
        <v>4362</v>
      </c>
      <c r="P1737" s="87" t="str">
        <f t="shared" si="28"/>
        <v>日本の歴史の中の亀山／現代の亀山／行政と政治／し尿処理場</v>
      </c>
      <c r="Q1737" s="157"/>
      <c r="R1737" s="151"/>
    </row>
    <row r="1738" spans="1:18" s="139" customFormat="1" ht="82.5" customHeight="1" x14ac:dyDescent="0.15">
      <c r="A1738" s="142" t="s">
        <v>4229</v>
      </c>
      <c r="B1738" s="142">
        <v>20</v>
      </c>
      <c r="C1738" s="143" t="s">
        <v>4322</v>
      </c>
      <c r="D1738" s="143">
        <v>1991</v>
      </c>
      <c r="E1738" s="144" t="s">
        <v>20</v>
      </c>
      <c r="F1738" s="143"/>
      <c r="G1738" s="143" t="s">
        <v>4363</v>
      </c>
      <c r="H1738" s="142"/>
      <c r="I1738" s="143"/>
      <c r="J1738" s="142"/>
      <c r="K1738" s="142"/>
      <c r="L1738" s="142"/>
      <c r="M1738" s="142"/>
      <c r="N1738" s="12" t="s">
        <v>4364</v>
      </c>
      <c r="O1738" s="12" t="s">
        <v>4362</v>
      </c>
      <c r="P1738" s="13" t="str">
        <f t="shared" si="28"/>
        <v>日本の歴史の中の亀山／現代の亀山／行政と政治／し尿処理場</v>
      </c>
      <c r="Q1738" s="158"/>
      <c r="R1738" s="142" t="s">
        <v>3422</v>
      </c>
    </row>
    <row r="1739" spans="1:18" s="139" customFormat="1" ht="28.5" customHeight="1" x14ac:dyDescent="0.15">
      <c r="A1739" s="142" t="s">
        <v>4229</v>
      </c>
      <c r="B1739" s="142">
        <v>20</v>
      </c>
      <c r="C1739" s="143" t="s">
        <v>4322</v>
      </c>
      <c r="D1739" s="143">
        <v>1991</v>
      </c>
      <c r="E1739" s="144" t="s">
        <v>20</v>
      </c>
      <c r="F1739" s="143"/>
      <c r="G1739" s="143" t="s">
        <v>4365</v>
      </c>
      <c r="H1739" s="142"/>
      <c r="I1739" s="143"/>
      <c r="J1739" s="142"/>
      <c r="K1739" s="142"/>
      <c r="L1739" s="142"/>
      <c r="M1739" s="142"/>
      <c r="N1739" s="12" t="s">
        <v>4366</v>
      </c>
      <c r="O1739" s="12" t="s">
        <v>4367</v>
      </c>
      <c r="P1739" s="13" t="str">
        <f t="shared" si="28"/>
        <v>日本の歴史の中の亀山／現代の亀山／交通と通信／鉄道／リニアの誘致活動</v>
      </c>
      <c r="Q1739" s="273"/>
      <c r="R1739" s="142" t="s">
        <v>3422</v>
      </c>
    </row>
    <row r="1740" spans="1:18" s="139" customFormat="1" ht="43.5" customHeight="1" x14ac:dyDescent="0.15">
      <c r="A1740" s="142" t="s">
        <v>4229</v>
      </c>
      <c r="B1740" s="142">
        <v>20</v>
      </c>
      <c r="C1740" s="143" t="s">
        <v>4322</v>
      </c>
      <c r="D1740" s="143">
        <v>1991</v>
      </c>
      <c r="E1740" s="144" t="s">
        <v>34</v>
      </c>
      <c r="F1740" s="143"/>
      <c r="G1740" s="143" t="s">
        <v>4368</v>
      </c>
      <c r="H1740" s="142"/>
      <c r="I1740" s="143"/>
      <c r="J1740" s="142"/>
      <c r="K1740" s="142" t="s">
        <v>3808</v>
      </c>
      <c r="L1740" s="142"/>
      <c r="M1740" s="142"/>
      <c r="N1740" s="23" t="s">
        <v>2598</v>
      </c>
      <c r="O1740" s="23" t="s">
        <v>2599</v>
      </c>
      <c r="P1740" s="24" t="str">
        <f t="shared" si="28"/>
        <v>亀山市の名誉市民／旧亀山市の名誉市民</v>
      </c>
      <c r="Q1740" s="25" t="str">
        <f>HYPERLINK("http://kameyamarekihaku.jp/23kikaku/info.html","企画展「－世界に冠たる亀山人－映画監督衣笠貞之助と言語学者服部四郎」")</f>
        <v>企画展「－世界に冠たる亀山人－映画監督衣笠貞之助と言語学者服部四郎」</v>
      </c>
      <c r="R1740" s="142" t="s">
        <v>3809</v>
      </c>
    </row>
    <row r="1741" spans="1:18" customFormat="1" ht="35.25" customHeight="1" x14ac:dyDescent="0.15">
      <c r="A1741" s="142" t="s">
        <v>4229</v>
      </c>
      <c r="B1741" s="142">
        <v>20</v>
      </c>
      <c r="C1741" s="143" t="s">
        <v>4322</v>
      </c>
      <c r="D1741" s="143">
        <v>1991</v>
      </c>
      <c r="E1741" s="144" t="s">
        <v>20</v>
      </c>
      <c r="F1741" s="245"/>
      <c r="G1741" s="120" t="s">
        <v>4369</v>
      </c>
      <c r="H1741" s="246" t="s">
        <v>199</v>
      </c>
      <c r="I1741" s="247"/>
      <c r="J1741" s="247"/>
      <c r="K1741" s="247"/>
      <c r="L1741" s="248"/>
      <c r="M1741" s="248"/>
      <c r="N1741" s="12" t="s">
        <v>3411</v>
      </c>
      <c r="O1741" s="12" t="s">
        <v>3405</v>
      </c>
      <c r="P1741" s="13" t="str">
        <f t="shared" si="28"/>
        <v>日本の歴史の中の亀山／現代の亀山／交通と通信／道路網の整備</v>
      </c>
      <c r="Q1741" s="194"/>
      <c r="R1741" s="248" t="s">
        <v>4089</v>
      </c>
    </row>
    <row r="1742" spans="1:18" customFormat="1" ht="15.75" customHeight="1" x14ac:dyDescent="0.15">
      <c r="A1742" s="142" t="s">
        <v>4229</v>
      </c>
      <c r="B1742" s="142">
        <v>20</v>
      </c>
      <c r="C1742" s="143" t="s">
        <v>4322</v>
      </c>
      <c r="D1742" s="143">
        <v>1991</v>
      </c>
      <c r="E1742" s="144" t="s">
        <v>20</v>
      </c>
      <c r="F1742" s="245"/>
      <c r="G1742" s="120" t="s">
        <v>4370</v>
      </c>
      <c r="H1742" s="246" t="s">
        <v>199</v>
      </c>
      <c r="I1742" s="247"/>
      <c r="J1742" s="247"/>
      <c r="K1742" s="247"/>
      <c r="L1742" s="248"/>
      <c r="M1742" s="248"/>
      <c r="N1742" s="12"/>
      <c r="O1742" s="12" t="e">
        <v>#VALUE!</v>
      </c>
      <c r="P1742" s="13" t="str">
        <f t="shared" si="28"/>
        <v/>
      </c>
      <c r="Q1742" s="194"/>
      <c r="R1742" s="248" t="s">
        <v>4089</v>
      </c>
    </row>
    <row r="1743" spans="1:18" s="139" customFormat="1" ht="57" customHeight="1" x14ac:dyDescent="0.15">
      <c r="A1743" s="142" t="s">
        <v>4229</v>
      </c>
      <c r="B1743" s="142">
        <v>20</v>
      </c>
      <c r="C1743" s="143" t="s">
        <v>4371</v>
      </c>
      <c r="D1743" s="143">
        <v>1992</v>
      </c>
      <c r="E1743" s="144" t="s">
        <v>20</v>
      </c>
      <c r="F1743" s="143"/>
      <c r="G1743" s="143" t="s">
        <v>4372</v>
      </c>
      <c r="H1743" s="142"/>
      <c r="I1743" s="143"/>
      <c r="J1743" s="142" t="s">
        <v>4373</v>
      </c>
      <c r="K1743" s="142"/>
      <c r="L1743" s="142"/>
      <c r="M1743" s="142"/>
      <c r="N1743" s="12"/>
      <c r="O1743" s="12" t="e">
        <v>#VALUE!</v>
      </c>
      <c r="P1743" s="13" t="str">
        <f t="shared" si="28"/>
        <v/>
      </c>
      <c r="Q1743" s="158"/>
      <c r="R1743" s="142" t="s">
        <v>3422</v>
      </c>
    </row>
    <row r="1744" spans="1:18" s="139" customFormat="1" ht="28.5" customHeight="1" x14ac:dyDescent="0.15">
      <c r="A1744" s="142" t="s">
        <v>4229</v>
      </c>
      <c r="B1744" s="142">
        <v>20</v>
      </c>
      <c r="C1744" s="143" t="s">
        <v>4371</v>
      </c>
      <c r="D1744" s="143">
        <v>1992</v>
      </c>
      <c r="E1744" s="144" t="s">
        <v>20</v>
      </c>
      <c r="F1744" s="143"/>
      <c r="G1744" s="143" t="s">
        <v>4374</v>
      </c>
      <c r="H1744" s="142"/>
      <c r="I1744" s="143"/>
      <c r="J1744" s="142"/>
      <c r="K1744" s="142"/>
      <c r="L1744" s="142"/>
      <c r="M1744" s="142"/>
      <c r="N1744" s="12"/>
      <c r="O1744" s="12" t="e">
        <v>#VALUE!</v>
      </c>
      <c r="P1744" s="13" t="str">
        <f t="shared" si="28"/>
        <v/>
      </c>
      <c r="Q1744" s="158"/>
      <c r="R1744" s="142" t="s">
        <v>3422</v>
      </c>
    </row>
    <row r="1745" spans="1:18" s="139" customFormat="1" ht="70.150000000000006" customHeight="1" x14ac:dyDescent="0.15">
      <c r="A1745" s="142" t="s">
        <v>4229</v>
      </c>
      <c r="B1745" s="142">
        <v>20</v>
      </c>
      <c r="C1745" s="143" t="s">
        <v>4371</v>
      </c>
      <c r="D1745" s="143">
        <v>1992</v>
      </c>
      <c r="E1745" s="144" t="s">
        <v>20</v>
      </c>
      <c r="F1745" s="143"/>
      <c r="G1745" s="143" t="s">
        <v>4375</v>
      </c>
      <c r="H1745" s="142"/>
      <c r="I1745" s="143"/>
      <c r="J1745" s="142"/>
      <c r="K1745" s="142"/>
      <c r="L1745" s="142"/>
      <c r="M1745" s="142"/>
      <c r="N1745" s="12"/>
      <c r="O1745" s="12" t="e">
        <v>#VALUE!</v>
      </c>
      <c r="P1745" s="13" t="str">
        <f t="shared" si="28"/>
        <v/>
      </c>
      <c r="Q1745" s="158"/>
      <c r="R1745" s="142" t="s">
        <v>3422</v>
      </c>
    </row>
    <row r="1746" spans="1:18" s="139" customFormat="1" ht="30" customHeight="1" x14ac:dyDescent="0.15">
      <c r="A1746" s="145" t="s">
        <v>4229</v>
      </c>
      <c r="B1746" s="145">
        <v>20</v>
      </c>
      <c r="C1746" s="146" t="s">
        <v>4371</v>
      </c>
      <c r="D1746" s="146">
        <v>1992</v>
      </c>
      <c r="E1746" s="147" t="s">
        <v>20</v>
      </c>
      <c r="F1746" s="146"/>
      <c r="G1746" s="345" t="s">
        <v>4376</v>
      </c>
      <c r="H1746" s="145" t="s">
        <v>2191</v>
      </c>
      <c r="I1746" s="148" t="s">
        <v>3032</v>
      </c>
      <c r="J1746" s="145" t="s">
        <v>4377</v>
      </c>
      <c r="L1746" s="145"/>
      <c r="M1746" s="145" t="s">
        <v>1140</v>
      </c>
      <c r="N1746" s="34" t="s">
        <v>4378</v>
      </c>
      <c r="O1746" s="34" t="s">
        <v>1135</v>
      </c>
      <c r="P1746" s="35" t="str">
        <f t="shared" si="28"/>
        <v>むかしの道と交通／亀山の近世の道／一里塚</v>
      </c>
      <c r="Q1746" s="160"/>
      <c r="R1746" s="145" t="s">
        <v>3422</v>
      </c>
    </row>
    <row r="1747" spans="1:18" s="208" customFormat="1" ht="30.75" customHeight="1" x14ac:dyDescent="0.15">
      <c r="A1747" s="136"/>
      <c r="B1747" s="136"/>
      <c r="C1747" s="137"/>
      <c r="D1747" s="137"/>
      <c r="E1747" s="138"/>
      <c r="F1747" s="137"/>
      <c r="G1747" s="346"/>
      <c r="H1747" s="136" t="s">
        <v>464</v>
      </c>
      <c r="I1747" s="150" t="s">
        <v>394</v>
      </c>
      <c r="J1747" s="76" t="str">
        <f>HYPERLINK("http://kameyamarekihaku.jp/sisi/MinzokuHP/jirei/bunrui5/data5-1/gi.htm?pf=DSC04050.jpg&amp;pn=%E9%87%8E%E6%9D%91%E3%81%AE%E4%B8%80%E9%87%8C%E5%A1%9A%EF%BC%88%E9%87%8E%E6%9D%91%E7%94%BA%EF%BC%89","野村一里塚")</f>
        <v>野村一里塚</v>
      </c>
      <c r="K1747" s="76"/>
      <c r="L1747" s="76" t="str">
        <f>HYPERLINK("http://kameyamarekihaku.jp/sisi/tuusiHP_next/kingendai/image/09/gi.htm?pf=3090sh009-05.JPG&amp;?pn=%20%E5%BE%80%E6%99%82%E3%81%AE%E9%87%8E%E6%9D%91%E4%B8%80%E9%87%8C%E5%A1%9A","往時の野村一里塚（古写真）")</f>
        <v>往時の野村一里塚（古写真）</v>
      </c>
      <c r="M1747" s="76" t="str">
        <f>HYPERLINK("http://kameyamarekihaku.jp/sisi/MinzokuHP/jirei/bunrui5/data5-1/gi.htm?pf=DSC04050.jpg&amp;pn=%E9%87%8E%E6%9D%91%E3%81%AE%E4%B8%80%E9%87%8C%E5%A1%9A%EF%BC%88%E9%87%8E%E6%9D%91%E7%94%BA%EF%BC%89","野村一里塚")</f>
        <v>野村一里塚</v>
      </c>
      <c r="N1747" s="84" t="s">
        <v>4379</v>
      </c>
      <c r="O1747" s="84" t="e">
        <v>#N/A</v>
      </c>
      <c r="P1747" s="85" t="str">
        <f t="shared" si="28"/>
        <v/>
      </c>
      <c r="Q1747" s="79"/>
      <c r="R1747" s="136"/>
    </row>
    <row r="1748" spans="1:18" s="208" customFormat="1" ht="48.75" customHeight="1" x14ac:dyDescent="0.15">
      <c r="A1748" s="151"/>
      <c r="B1748" s="151"/>
      <c r="C1748" s="152"/>
      <c r="D1748" s="152"/>
      <c r="E1748" s="153"/>
      <c r="F1748" s="152"/>
      <c r="G1748" s="353"/>
      <c r="H1748" s="151"/>
      <c r="I1748" s="155"/>
      <c r="J1748" s="102"/>
      <c r="K1748" s="102"/>
      <c r="L1748" s="102"/>
      <c r="M1748" s="102"/>
      <c r="N1748" s="86" t="s">
        <v>2515</v>
      </c>
      <c r="O1748" s="86" t="s">
        <v>1124</v>
      </c>
      <c r="P1748" s="87" t="str">
        <f t="shared" si="28"/>
        <v>亀山のいいとこさがし／景色のよいところや歴史を知る手掛かりとなるもの／歴史上の場所／野村一里塚</v>
      </c>
      <c r="Q1748" s="157"/>
      <c r="R1748" s="151"/>
    </row>
    <row r="1749" spans="1:18" s="139" customFormat="1" ht="52.35" customHeight="1" x14ac:dyDescent="0.15">
      <c r="A1749" s="151" t="s">
        <v>4229</v>
      </c>
      <c r="B1749" s="151">
        <v>20</v>
      </c>
      <c r="C1749" s="152" t="s">
        <v>4371</v>
      </c>
      <c r="D1749" s="152">
        <v>1992</v>
      </c>
      <c r="E1749" s="153" t="s">
        <v>20</v>
      </c>
      <c r="F1749" s="152"/>
      <c r="G1749" s="152" t="s">
        <v>4380</v>
      </c>
      <c r="H1749" s="151"/>
      <c r="I1749" s="152" t="s">
        <v>95</v>
      </c>
      <c r="J1749" s="151" t="s">
        <v>4381</v>
      </c>
      <c r="K1749" s="151"/>
      <c r="M1749" s="151"/>
      <c r="N1749" s="86" t="s">
        <v>4382</v>
      </c>
      <c r="O1749" s="86" t="s">
        <v>2792</v>
      </c>
      <c r="P1749" s="87" t="str">
        <f t="shared" si="28"/>
        <v>学校のあゆみ／中部中学校のれきし</v>
      </c>
      <c r="Q1749" s="157"/>
      <c r="R1749" s="151" t="s">
        <v>4342</v>
      </c>
    </row>
    <row r="1750" spans="1:18" s="139" customFormat="1" ht="28.5" customHeight="1" x14ac:dyDescent="0.15">
      <c r="A1750" s="142" t="s">
        <v>4229</v>
      </c>
      <c r="B1750" s="142">
        <v>20</v>
      </c>
      <c r="C1750" s="143" t="s">
        <v>4371</v>
      </c>
      <c r="D1750" s="143">
        <v>1992</v>
      </c>
      <c r="E1750" s="144" t="s">
        <v>913</v>
      </c>
      <c r="F1750" s="143"/>
      <c r="G1750" s="143" t="s">
        <v>4383</v>
      </c>
      <c r="H1750" s="142"/>
      <c r="I1750" s="143"/>
      <c r="J1750" s="142"/>
      <c r="K1750" s="142"/>
      <c r="L1750" s="142"/>
      <c r="M1750" s="142"/>
      <c r="N1750" s="12"/>
      <c r="O1750" s="12" t="e">
        <v>#VALUE!</v>
      </c>
      <c r="P1750" s="13" t="str">
        <f t="shared" si="28"/>
        <v/>
      </c>
      <c r="Q1750" s="158"/>
      <c r="R1750" s="142" t="s">
        <v>3422</v>
      </c>
    </row>
    <row r="1751" spans="1:18" s="139" customFormat="1" ht="52.35" customHeight="1" x14ac:dyDescent="0.15">
      <c r="A1751" s="142" t="s">
        <v>4229</v>
      </c>
      <c r="B1751" s="142">
        <v>20</v>
      </c>
      <c r="C1751" s="143" t="s">
        <v>4371</v>
      </c>
      <c r="D1751" s="143">
        <v>1992</v>
      </c>
      <c r="E1751" s="144" t="s">
        <v>20</v>
      </c>
      <c r="F1751" s="143"/>
      <c r="G1751" s="143" t="s">
        <v>4384</v>
      </c>
      <c r="H1751" s="142" t="s">
        <v>464</v>
      </c>
      <c r="I1751" s="143" t="s">
        <v>1911</v>
      </c>
      <c r="J1751" s="142" t="s">
        <v>4385</v>
      </c>
      <c r="K1751" s="142"/>
      <c r="L1751" s="142"/>
      <c r="M1751" s="142"/>
      <c r="N1751" s="12"/>
      <c r="O1751" s="12" t="e">
        <v>#VALUE!</v>
      </c>
      <c r="P1751" s="13" t="str">
        <f t="shared" si="28"/>
        <v/>
      </c>
      <c r="Q1751" s="158"/>
      <c r="R1751" s="142" t="s">
        <v>3422</v>
      </c>
    </row>
    <row r="1752" spans="1:18" s="139" customFormat="1" ht="28.5" customHeight="1" x14ac:dyDescent="0.15">
      <c r="A1752" s="142" t="s">
        <v>4229</v>
      </c>
      <c r="B1752" s="142">
        <v>20</v>
      </c>
      <c r="C1752" s="143" t="s">
        <v>4371</v>
      </c>
      <c r="D1752" s="143">
        <v>1992</v>
      </c>
      <c r="E1752" s="144" t="s">
        <v>20</v>
      </c>
      <c r="F1752" s="143"/>
      <c r="G1752" s="143" t="s">
        <v>4386</v>
      </c>
      <c r="H1752" s="142" t="s">
        <v>464</v>
      </c>
      <c r="I1752" s="143" t="s">
        <v>3420</v>
      </c>
      <c r="J1752" s="142" t="s">
        <v>4387</v>
      </c>
      <c r="K1752" s="142"/>
      <c r="L1752" s="142"/>
      <c r="M1752" s="142"/>
      <c r="N1752" s="12"/>
      <c r="O1752" s="12" t="e">
        <v>#VALUE!</v>
      </c>
      <c r="P1752" s="13" t="str">
        <f t="shared" si="28"/>
        <v/>
      </c>
      <c r="Q1752" s="158"/>
      <c r="R1752" s="142" t="s">
        <v>3422</v>
      </c>
    </row>
    <row r="1753" spans="1:18" s="139" customFormat="1" ht="28.5" customHeight="1" x14ac:dyDescent="0.15">
      <c r="A1753" s="142" t="s">
        <v>4229</v>
      </c>
      <c r="B1753" s="142">
        <v>20</v>
      </c>
      <c r="C1753" s="143" t="s">
        <v>4371</v>
      </c>
      <c r="D1753" s="143">
        <v>1992</v>
      </c>
      <c r="E1753" s="144" t="s">
        <v>20</v>
      </c>
      <c r="F1753" s="143"/>
      <c r="G1753" s="143" t="s">
        <v>4388</v>
      </c>
      <c r="H1753" s="142" t="s">
        <v>250</v>
      </c>
      <c r="I1753" s="143" t="s">
        <v>4389</v>
      </c>
      <c r="J1753" s="142" t="s">
        <v>4326</v>
      </c>
      <c r="K1753" s="142"/>
      <c r="L1753" s="142"/>
      <c r="M1753" s="142"/>
      <c r="N1753" s="12"/>
      <c r="O1753" s="12" t="e">
        <v>#VALUE!</v>
      </c>
      <c r="P1753" s="13" t="str">
        <f t="shared" si="28"/>
        <v/>
      </c>
      <c r="Q1753" s="158"/>
      <c r="R1753" s="142" t="s">
        <v>4327</v>
      </c>
    </row>
    <row r="1754" spans="1:18" s="139" customFormat="1" ht="57" customHeight="1" x14ac:dyDescent="0.15">
      <c r="A1754" s="142" t="s">
        <v>4229</v>
      </c>
      <c r="B1754" s="142">
        <v>20</v>
      </c>
      <c r="C1754" s="143" t="s">
        <v>4371</v>
      </c>
      <c r="D1754" s="143">
        <v>1992</v>
      </c>
      <c r="E1754" s="144" t="s">
        <v>34</v>
      </c>
      <c r="F1754" s="143"/>
      <c r="G1754" s="143" t="s">
        <v>4390</v>
      </c>
      <c r="H1754" s="142" t="s">
        <v>1686</v>
      </c>
      <c r="I1754" s="161" t="s">
        <v>3846</v>
      </c>
      <c r="J1754" s="142" t="s">
        <v>4391</v>
      </c>
      <c r="K1754" s="142"/>
      <c r="L1754" s="142"/>
      <c r="M1754" s="142"/>
      <c r="N1754" s="12" t="s">
        <v>2758</v>
      </c>
      <c r="O1754" s="12" t="s">
        <v>2759</v>
      </c>
      <c r="P1754" s="13" t="str">
        <f t="shared" si="28"/>
        <v>日本の歴史の中の亀山／現代の亀山／教育と医療・福祉／図書館</v>
      </c>
      <c r="Q1754" s="158"/>
      <c r="R1754" s="142" t="s">
        <v>4392</v>
      </c>
    </row>
    <row r="1755" spans="1:18" s="139" customFormat="1" ht="43.5" customHeight="1" x14ac:dyDescent="0.15">
      <c r="A1755" s="142" t="s">
        <v>4229</v>
      </c>
      <c r="B1755" s="142">
        <v>20</v>
      </c>
      <c r="C1755" s="143" t="s">
        <v>4371</v>
      </c>
      <c r="D1755" s="143">
        <v>1992</v>
      </c>
      <c r="E1755" s="144" t="s">
        <v>20</v>
      </c>
      <c r="F1755" s="143"/>
      <c r="G1755" s="143" t="s">
        <v>4393</v>
      </c>
      <c r="H1755" s="142"/>
      <c r="I1755" s="143"/>
      <c r="J1755" s="142" t="s">
        <v>4394</v>
      </c>
      <c r="K1755" s="142"/>
      <c r="L1755" s="142"/>
      <c r="M1755" s="142"/>
      <c r="N1755" s="12" t="s">
        <v>2483</v>
      </c>
      <c r="O1755" s="12" t="s">
        <v>2484</v>
      </c>
      <c r="P1755" s="13" t="str">
        <f t="shared" si="28"/>
        <v>日本の歴史の中の亀山／現代の亀山／交通と通信／バス</v>
      </c>
      <c r="Q1755" s="158"/>
      <c r="R1755" s="142" t="s">
        <v>3422</v>
      </c>
    </row>
    <row r="1756" spans="1:18" s="139" customFormat="1" ht="43.5" customHeight="1" x14ac:dyDescent="0.15">
      <c r="A1756" s="142" t="s">
        <v>4229</v>
      </c>
      <c r="B1756" s="142">
        <v>20</v>
      </c>
      <c r="C1756" s="143" t="s">
        <v>4371</v>
      </c>
      <c r="D1756" s="143">
        <v>1992</v>
      </c>
      <c r="E1756" s="144" t="s">
        <v>20</v>
      </c>
      <c r="F1756" s="143"/>
      <c r="G1756" s="143" t="s">
        <v>4395</v>
      </c>
      <c r="H1756" s="142" t="s">
        <v>464</v>
      </c>
      <c r="I1756" s="143" t="s">
        <v>3683</v>
      </c>
      <c r="J1756" s="142" t="s">
        <v>4396</v>
      </c>
      <c r="K1756" s="142"/>
      <c r="L1756" s="142"/>
      <c r="M1756" s="142"/>
      <c r="N1756" s="12"/>
      <c r="O1756" s="12" t="e">
        <v>#VALUE!</v>
      </c>
      <c r="P1756" s="13" t="str">
        <f t="shared" si="28"/>
        <v/>
      </c>
      <c r="Q1756" s="158"/>
      <c r="R1756" s="142" t="s">
        <v>3422</v>
      </c>
    </row>
    <row r="1757" spans="1:18" s="139" customFormat="1" ht="43.5" customHeight="1" x14ac:dyDescent="0.15">
      <c r="A1757" s="142" t="s">
        <v>4229</v>
      </c>
      <c r="B1757" s="142">
        <v>20</v>
      </c>
      <c r="C1757" s="143" t="s">
        <v>4371</v>
      </c>
      <c r="D1757" s="143">
        <v>1992</v>
      </c>
      <c r="E1757" s="144" t="s">
        <v>20</v>
      </c>
      <c r="F1757" s="143"/>
      <c r="G1757" s="143" t="s">
        <v>4397</v>
      </c>
      <c r="H1757" s="142" t="s">
        <v>3182</v>
      </c>
      <c r="I1757" s="143" t="s">
        <v>3221</v>
      </c>
      <c r="J1757" s="142" t="s">
        <v>4398</v>
      </c>
      <c r="K1757" s="142"/>
      <c r="L1757" s="142"/>
      <c r="M1757" s="142"/>
      <c r="N1757" s="12" t="s">
        <v>4399</v>
      </c>
      <c r="O1757" s="12" t="s">
        <v>4278</v>
      </c>
      <c r="P1757" s="13" t="str">
        <f t="shared" si="28"/>
        <v>学校のあゆみ／昼生小学校のれきし</v>
      </c>
      <c r="Q1757" s="158"/>
      <c r="R1757" s="142" t="s">
        <v>4400</v>
      </c>
    </row>
    <row r="1758" spans="1:18" s="139" customFormat="1" ht="28.5" customHeight="1" x14ac:dyDescent="0.15">
      <c r="A1758" s="142" t="s">
        <v>4229</v>
      </c>
      <c r="B1758" s="142">
        <v>20</v>
      </c>
      <c r="C1758" s="143" t="s">
        <v>4371</v>
      </c>
      <c r="D1758" s="143">
        <v>1992</v>
      </c>
      <c r="E1758" s="144" t="s">
        <v>20</v>
      </c>
      <c r="F1758" s="143"/>
      <c r="G1758" s="143" t="s">
        <v>4401</v>
      </c>
      <c r="H1758" s="142"/>
      <c r="I1758" s="143"/>
      <c r="J1758" s="142"/>
      <c r="K1758" s="142"/>
      <c r="L1758" s="142"/>
      <c r="M1758" s="142"/>
      <c r="N1758" s="12"/>
      <c r="O1758" s="12" t="e">
        <v>#VALUE!</v>
      </c>
      <c r="P1758" s="13" t="str">
        <f t="shared" si="28"/>
        <v/>
      </c>
      <c r="Q1758" s="158"/>
      <c r="R1758" s="142" t="s">
        <v>3422</v>
      </c>
    </row>
    <row r="1759" spans="1:18" s="139" customFormat="1" ht="28.5" customHeight="1" x14ac:dyDescent="0.15">
      <c r="A1759" s="142" t="s">
        <v>4229</v>
      </c>
      <c r="B1759" s="142">
        <v>20</v>
      </c>
      <c r="C1759" s="143" t="s">
        <v>4371</v>
      </c>
      <c r="D1759" s="143">
        <v>1992</v>
      </c>
      <c r="E1759" s="144" t="s">
        <v>20</v>
      </c>
      <c r="F1759" s="143"/>
      <c r="G1759" s="143" t="s">
        <v>4402</v>
      </c>
      <c r="H1759" s="142" t="s">
        <v>464</v>
      </c>
      <c r="I1759" s="143" t="s">
        <v>1833</v>
      </c>
      <c r="J1759" s="142" t="s">
        <v>4403</v>
      </c>
      <c r="K1759" s="142"/>
      <c r="L1759" s="142"/>
      <c r="M1759" s="142"/>
      <c r="N1759" s="12"/>
      <c r="O1759" s="12" t="e">
        <v>#VALUE!</v>
      </c>
      <c r="P1759" s="13" t="str">
        <f t="shared" si="28"/>
        <v/>
      </c>
      <c r="Q1759" s="158"/>
      <c r="R1759" s="142" t="s">
        <v>3422</v>
      </c>
    </row>
    <row r="1760" spans="1:18" s="139" customFormat="1" ht="15" customHeight="1" x14ac:dyDescent="0.15">
      <c r="A1760" s="142" t="s">
        <v>4229</v>
      </c>
      <c r="B1760" s="142">
        <v>20</v>
      </c>
      <c r="C1760" s="143" t="s">
        <v>4371</v>
      </c>
      <c r="D1760" s="143">
        <v>1992</v>
      </c>
      <c r="E1760" s="144" t="s">
        <v>20</v>
      </c>
      <c r="F1760" s="143"/>
      <c r="G1760" s="143" t="s">
        <v>4404</v>
      </c>
      <c r="H1760" s="142" t="s">
        <v>464</v>
      </c>
      <c r="I1760" s="143" t="s">
        <v>1911</v>
      </c>
      <c r="J1760" s="142" t="s">
        <v>4405</v>
      </c>
      <c r="K1760" s="142"/>
      <c r="L1760" s="142"/>
      <c r="M1760" s="142"/>
      <c r="N1760" s="12"/>
      <c r="O1760" s="12" t="e">
        <v>#VALUE!</v>
      </c>
      <c r="P1760" s="13" t="str">
        <f t="shared" si="28"/>
        <v/>
      </c>
      <c r="Q1760" s="158"/>
      <c r="R1760" s="142" t="s">
        <v>3422</v>
      </c>
    </row>
    <row r="1761" spans="1:18" s="139" customFormat="1" ht="25.5" customHeight="1" x14ac:dyDescent="0.15">
      <c r="A1761" s="142" t="s">
        <v>4229</v>
      </c>
      <c r="B1761" s="142">
        <v>20</v>
      </c>
      <c r="C1761" s="143" t="s">
        <v>4371</v>
      </c>
      <c r="D1761" s="143">
        <v>1992</v>
      </c>
      <c r="E1761" s="144" t="s">
        <v>20</v>
      </c>
      <c r="F1761" s="143"/>
      <c r="G1761" s="143" t="s">
        <v>4406</v>
      </c>
      <c r="H1761" s="142"/>
      <c r="I1761" s="143"/>
      <c r="J1761" s="142"/>
      <c r="K1761" s="142"/>
      <c r="L1761" s="142"/>
      <c r="M1761" s="142"/>
      <c r="N1761" s="12"/>
      <c r="O1761" s="12" t="e">
        <v>#VALUE!</v>
      </c>
      <c r="P1761" s="13" t="str">
        <f t="shared" si="28"/>
        <v/>
      </c>
      <c r="Q1761" s="158"/>
      <c r="R1761" s="142" t="s">
        <v>3422</v>
      </c>
    </row>
    <row r="1762" spans="1:18" s="139" customFormat="1" ht="28.5" customHeight="1" x14ac:dyDescent="0.15">
      <c r="A1762" s="142" t="s">
        <v>4229</v>
      </c>
      <c r="B1762" s="142">
        <v>20</v>
      </c>
      <c r="C1762" s="143" t="s">
        <v>4371</v>
      </c>
      <c r="D1762" s="143">
        <v>1992</v>
      </c>
      <c r="E1762" s="144" t="s">
        <v>34</v>
      </c>
      <c r="F1762" s="143"/>
      <c r="G1762" s="143" t="s">
        <v>4407</v>
      </c>
      <c r="H1762" s="142" t="s">
        <v>122</v>
      </c>
      <c r="I1762" s="143" t="s">
        <v>55</v>
      </c>
      <c r="J1762" s="142" t="s">
        <v>3655</v>
      </c>
      <c r="K1762" s="142"/>
      <c r="L1762" s="142" t="s">
        <v>4408</v>
      </c>
      <c r="M1762" s="16" t="str">
        <f>HYPERLINK("http://kameyamarekihaku.jp/sisi/KoukoHP/archives/ookaitokofu/01/01-01/gi.html?pf=OOKAKO0101-01-023.JPG&amp;pn=%E5%B1%B1%E4%B8%8B%E6%A9%8B%E8%A6%AA%E6%9F%B1%E5%8F%A4%E4%BB%A3%E6%AD%A6%E4%BA%BA%E5%83%8F","古代武人像")</f>
        <v>古代武人像</v>
      </c>
      <c r="N1762" s="29"/>
      <c r="O1762" s="29" t="e">
        <v>#VALUE!</v>
      </c>
      <c r="P1762" s="30" t="str">
        <f t="shared" si="28"/>
        <v/>
      </c>
      <c r="Q1762" s="31" t="str">
        <f>HYPERLINK("http://kameyamarekihaku.jp/raikan_demae/130626_kanbe.html","神辺小6年出前授業実践例「神辺の歴史のさがし方」")</f>
        <v>神辺小6年出前授業実践例「神辺の歴史のさがし方」</v>
      </c>
      <c r="R1762" s="142" t="s">
        <v>3802</v>
      </c>
    </row>
    <row r="1763" spans="1:18" s="139" customFormat="1" ht="15" customHeight="1" x14ac:dyDescent="0.15">
      <c r="A1763" s="142" t="s">
        <v>4229</v>
      </c>
      <c r="B1763" s="142">
        <v>20</v>
      </c>
      <c r="C1763" s="143" t="s">
        <v>4371</v>
      </c>
      <c r="D1763" s="143">
        <v>1992</v>
      </c>
      <c r="E1763" s="144" t="s">
        <v>34</v>
      </c>
      <c r="F1763" s="143"/>
      <c r="G1763" s="175" t="s">
        <v>4409</v>
      </c>
      <c r="H1763" s="142"/>
      <c r="I1763" s="143"/>
      <c r="J1763" s="142"/>
      <c r="K1763" s="142"/>
      <c r="L1763" s="142"/>
      <c r="M1763" s="142"/>
      <c r="N1763" s="12"/>
      <c r="O1763" s="12" t="e">
        <v>#VALUE!</v>
      </c>
      <c r="P1763" s="13" t="str">
        <f t="shared" si="28"/>
        <v/>
      </c>
      <c r="Q1763" s="158"/>
      <c r="R1763" s="142" t="s">
        <v>3422</v>
      </c>
    </row>
    <row r="1764" spans="1:18" s="139" customFormat="1" ht="111" customHeight="1" x14ac:dyDescent="0.15">
      <c r="A1764" s="142" t="s">
        <v>4229</v>
      </c>
      <c r="B1764" s="142">
        <v>20</v>
      </c>
      <c r="C1764" s="143" t="s">
        <v>4371</v>
      </c>
      <c r="D1764" s="143">
        <v>1992</v>
      </c>
      <c r="E1764" s="144" t="s">
        <v>20</v>
      </c>
      <c r="F1764" s="143"/>
      <c r="G1764" s="175" t="s">
        <v>4410</v>
      </c>
      <c r="H1764" s="142"/>
      <c r="I1764" s="143"/>
      <c r="J1764" s="142"/>
      <c r="K1764" s="142"/>
      <c r="L1764" s="142"/>
      <c r="M1764" s="142"/>
      <c r="N1764" s="12"/>
      <c r="O1764" s="12" t="e">
        <v>#VALUE!</v>
      </c>
      <c r="P1764" s="13" t="str">
        <f t="shared" si="28"/>
        <v/>
      </c>
      <c r="Q1764" s="158"/>
      <c r="R1764" s="142" t="s">
        <v>3422</v>
      </c>
    </row>
    <row r="1765" spans="1:18" s="139" customFormat="1" ht="15" customHeight="1" x14ac:dyDescent="0.15">
      <c r="A1765" s="142" t="s">
        <v>4229</v>
      </c>
      <c r="B1765" s="142">
        <v>20</v>
      </c>
      <c r="C1765" s="143" t="s">
        <v>4371</v>
      </c>
      <c r="D1765" s="143">
        <v>1992</v>
      </c>
      <c r="E1765" s="144" t="s">
        <v>20</v>
      </c>
      <c r="F1765" s="143"/>
      <c r="G1765" s="175" t="s">
        <v>4411</v>
      </c>
      <c r="H1765" s="142"/>
      <c r="I1765" s="143"/>
      <c r="J1765" s="142"/>
      <c r="K1765" s="142"/>
      <c r="L1765" s="142"/>
      <c r="M1765" s="142"/>
      <c r="N1765" s="12"/>
      <c r="O1765" s="12" t="e">
        <v>#VALUE!</v>
      </c>
      <c r="P1765" s="13" t="str">
        <f t="shared" si="28"/>
        <v/>
      </c>
      <c r="Q1765" s="158"/>
      <c r="R1765" s="142" t="s">
        <v>4412</v>
      </c>
    </row>
    <row r="1766" spans="1:18" s="139" customFormat="1" ht="28.5" customHeight="1" x14ac:dyDescent="0.15">
      <c r="A1766" s="142" t="s">
        <v>4229</v>
      </c>
      <c r="B1766" s="142">
        <v>20</v>
      </c>
      <c r="C1766" s="143" t="s">
        <v>4371</v>
      </c>
      <c r="D1766" s="143">
        <v>1992</v>
      </c>
      <c r="E1766" s="144" t="s">
        <v>20</v>
      </c>
      <c r="F1766" s="143"/>
      <c r="G1766" s="175" t="s">
        <v>4413</v>
      </c>
      <c r="H1766" s="142"/>
      <c r="I1766" s="143"/>
      <c r="J1766" s="142"/>
      <c r="K1766" s="142"/>
      <c r="L1766" s="142"/>
      <c r="M1766" s="142"/>
      <c r="N1766" s="12"/>
      <c r="O1766" s="12" t="e">
        <v>#VALUE!</v>
      </c>
      <c r="P1766" s="13" t="str">
        <f t="shared" si="28"/>
        <v/>
      </c>
      <c r="Q1766" s="158"/>
      <c r="R1766" s="142" t="s">
        <v>3422</v>
      </c>
    </row>
    <row r="1767" spans="1:18" s="139" customFormat="1" ht="28.5" customHeight="1" x14ac:dyDescent="0.15">
      <c r="A1767" s="142" t="s">
        <v>4229</v>
      </c>
      <c r="B1767" s="142">
        <v>20</v>
      </c>
      <c r="C1767" s="143" t="s">
        <v>4371</v>
      </c>
      <c r="D1767" s="143">
        <v>1992</v>
      </c>
      <c r="E1767" s="144" t="s">
        <v>20</v>
      </c>
      <c r="F1767" s="143"/>
      <c r="G1767" s="175" t="s">
        <v>4414</v>
      </c>
      <c r="H1767" s="142"/>
      <c r="I1767" s="143"/>
      <c r="J1767" s="142"/>
      <c r="K1767" s="142"/>
      <c r="L1767" s="142"/>
      <c r="M1767" s="142"/>
      <c r="N1767" s="12" t="s">
        <v>4415</v>
      </c>
      <c r="O1767" s="12" t="s">
        <v>2885</v>
      </c>
      <c r="P1767" s="13" t="str">
        <f t="shared" si="28"/>
        <v>日本の歴史の中の亀山／現代の亀山／産業／商業／商工会議所</v>
      </c>
      <c r="Q1767" s="158"/>
      <c r="R1767" s="142" t="s">
        <v>3422</v>
      </c>
    </row>
    <row r="1768" spans="1:18" s="139" customFormat="1" ht="28.5" customHeight="1" x14ac:dyDescent="0.15">
      <c r="A1768" s="142" t="s">
        <v>4229</v>
      </c>
      <c r="B1768" s="142">
        <v>20</v>
      </c>
      <c r="C1768" s="143" t="s">
        <v>4371</v>
      </c>
      <c r="D1768" s="143">
        <v>1992</v>
      </c>
      <c r="E1768" s="144" t="s">
        <v>20</v>
      </c>
      <c r="F1768" s="143"/>
      <c r="G1768" s="175" t="s">
        <v>4416</v>
      </c>
      <c r="H1768" s="142" t="s">
        <v>632</v>
      </c>
      <c r="I1768" s="143" t="s">
        <v>55</v>
      </c>
      <c r="J1768" s="142" t="s">
        <v>4417</v>
      </c>
      <c r="K1768" s="142"/>
      <c r="L1768" s="142"/>
      <c r="M1768" s="142"/>
      <c r="N1768" s="12"/>
      <c r="O1768" s="12" t="e">
        <v>#VALUE!</v>
      </c>
      <c r="P1768" s="13" t="str">
        <f t="shared" si="28"/>
        <v/>
      </c>
      <c r="Q1768" s="158"/>
      <c r="R1768" s="142" t="s">
        <v>3422</v>
      </c>
    </row>
    <row r="1769" spans="1:18" s="139" customFormat="1" ht="33.75" customHeight="1" x14ac:dyDescent="0.15">
      <c r="A1769" s="142" t="s">
        <v>4229</v>
      </c>
      <c r="B1769" s="142">
        <v>20</v>
      </c>
      <c r="C1769" s="143" t="s">
        <v>4371</v>
      </c>
      <c r="D1769" s="143">
        <v>1992</v>
      </c>
      <c r="E1769" s="144" t="s">
        <v>20</v>
      </c>
      <c r="F1769" s="143"/>
      <c r="G1769" s="175" t="s">
        <v>4418</v>
      </c>
      <c r="H1769" s="142" t="s">
        <v>464</v>
      </c>
      <c r="I1769" s="143" t="s">
        <v>3872</v>
      </c>
      <c r="J1769" s="142" t="s">
        <v>4419</v>
      </c>
      <c r="K1769" s="142"/>
      <c r="L1769" s="142"/>
      <c r="M1769" s="142"/>
      <c r="N1769" s="12" t="s">
        <v>3011</v>
      </c>
      <c r="O1769" s="12" t="s">
        <v>2759</v>
      </c>
      <c r="P1769" s="13" t="str">
        <f t="shared" si="28"/>
        <v>日本の歴史の中の亀山／現代の亀山／教育と医療・福祉／図書館</v>
      </c>
      <c r="Q1769" s="158"/>
      <c r="R1769" s="142" t="s">
        <v>4420</v>
      </c>
    </row>
    <row r="1770" spans="1:18" s="139" customFormat="1" ht="27.75" customHeight="1" x14ac:dyDescent="0.15">
      <c r="A1770" s="145" t="s">
        <v>4229</v>
      </c>
      <c r="B1770" s="145">
        <v>20</v>
      </c>
      <c r="C1770" s="146" t="s">
        <v>4371</v>
      </c>
      <c r="D1770" s="146">
        <v>1992</v>
      </c>
      <c r="E1770" s="147" t="s">
        <v>34</v>
      </c>
      <c r="F1770" s="146"/>
      <c r="G1770" s="163" t="s">
        <v>4421</v>
      </c>
      <c r="H1770" s="88" t="s">
        <v>250</v>
      </c>
      <c r="I1770" s="163" t="s">
        <v>4422</v>
      </c>
      <c r="J1770" s="71" t="str">
        <f>HYPERLINK("http://kameyamarekihaku.jp/sisi/KoukoHP/archives/higasikaba2/01/01-02/gi.html?pf=HIKAB20102-02-020.JPG&amp;pn=%E6%9D%B1%E6%A8%BA%E9%87%8E%E9%81%BA%E8%B7%A1%E7%8F%BE%E6%B3%81","東樺野遺跡")</f>
        <v>東樺野遺跡</v>
      </c>
      <c r="K1770" s="145"/>
      <c r="L1770" s="71" t="str">
        <f>HYPERLINK("http://kameyamarekihaku.jp/sisi/KoukoHP/archives/higasikaba2/01/01-01/gi.html?pf=HIKAB20101-01-037.JPG&amp;pn=%E6%8E%98%E7%AB%8B%E6%9F%B1%E5%BB%BA%E7%89%A91%E6%9F%B1%E7%A9%B4%E9%81%BA%E7%89%A9%E5%87%BA%E5%9C%9F%E7%8A%B6%E6%B3%81%20%282%29","東樺野遺跡出土品")</f>
        <v>東樺野遺跡出土品</v>
      </c>
      <c r="M1770" s="145"/>
      <c r="N1770" s="310" t="s">
        <v>3649</v>
      </c>
      <c r="O1770" s="310" t="s">
        <v>126</v>
      </c>
      <c r="P1770" s="311" t="str">
        <f t="shared" si="28"/>
        <v>日本の歴史の中の亀山／古代の亀山／亀山のあけぼの／大王の時代と亀山の古墳／亀山の古墳／さまざまな古墳（１）</v>
      </c>
      <c r="Q1770" s="17" t="str">
        <f>HYPERLINK("http:/kameyamarekihaku.jp/sisi/KoukoHP/iseki.html","市史考古編遺跡一覧N0.28")</f>
        <v>市史考古編遺跡一覧N0.28</v>
      </c>
      <c r="R1770" s="347" t="s">
        <v>4423</v>
      </c>
    </row>
    <row r="1771" spans="1:18" s="139" customFormat="1" ht="33.75" customHeight="1" x14ac:dyDescent="0.15">
      <c r="A1771" s="151"/>
      <c r="B1771" s="151"/>
      <c r="C1771" s="152"/>
      <c r="D1771" s="152"/>
      <c r="E1771" s="153"/>
      <c r="F1771" s="152"/>
      <c r="G1771" s="169"/>
      <c r="H1771" s="91"/>
      <c r="I1771" s="169"/>
      <c r="J1771" s="102"/>
      <c r="K1771" s="151"/>
      <c r="L1771" s="151"/>
      <c r="M1771" s="151"/>
      <c r="N1771" s="306"/>
      <c r="O1771" s="306" t="e">
        <v>#VALUE!</v>
      </c>
      <c r="P1771" s="308" t="str">
        <f t="shared" si="28"/>
        <v/>
      </c>
      <c r="Q1771" s="10" t="str">
        <f>HYPERLINK("http:/kameyamarekihaku.jp/sisi/KoukoHP/archives/higasikaba2/01/01-01/HIKAB20101-01.html","亀山市遺跡アーカイブス　東樺野遺跡第2次発掘調査")</f>
        <v>亀山市遺跡アーカイブス　東樺野遺跡第2次発掘調査</v>
      </c>
      <c r="R1771" s="348"/>
    </row>
    <row r="1772" spans="1:18" s="139" customFormat="1" ht="28.15" customHeight="1" x14ac:dyDescent="0.15">
      <c r="A1772" s="142" t="s">
        <v>4229</v>
      </c>
      <c r="B1772" s="142">
        <v>20</v>
      </c>
      <c r="C1772" s="143" t="s">
        <v>4371</v>
      </c>
      <c r="D1772" s="143">
        <v>1992</v>
      </c>
      <c r="E1772" s="144" t="s">
        <v>20</v>
      </c>
      <c r="F1772" s="143"/>
      <c r="G1772" s="175" t="s">
        <v>4424</v>
      </c>
      <c r="H1772" s="142"/>
      <c r="I1772" s="143"/>
      <c r="J1772" s="142"/>
      <c r="K1772" s="142"/>
      <c r="L1772" s="142"/>
      <c r="M1772" s="142"/>
      <c r="N1772" s="12"/>
      <c r="O1772" s="12" t="e">
        <v>#VALUE!</v>
      </c>
      <c r="P1772" s="13" t="str">
        <f t="shared" si="28"/>
        <v/>
      </c>
      <c r="Q1772" s="158"/>
      <c r="R1772" s="142" t="s">
        <v>3422</v>
      </c>
    </row>
    <row r="1773" spans="1:18" s="139" customFormat="1" ht="33.75" customHeight="1" x14ac:dyDescent="0.15">
      <c r="A1773" s="145" t="s">
        <v>4229</v>
      </c>
      <c r="B1773" s="145">
        <v>20</v>
      </c>
      <c r="C1773" s="146" t="s">
        <v>4371</v>
      </c>
      <c r="D1773" s="146">
        <v>1992</v>
      </c>
      <c r="E1773" s="147" t="s">
        <v>34</v>
      </c>
      <c r="F1773" s="146"/>
      <c r="G1773" s="163" t="s">
        <v>4425</v>
      </c>
      <c r="H1773" s="145" t="s">
        <v>156</v>
      </c>
      <c r="I1773" s="146" t="s">
        <v>95</v>
      </c>
      <c r="J1773" s="145" t="s">
        <v>4426</v>
      </c>
      <c r="K1773" s="145"/>
      <c r="L1773" s="145"/>
      <c r="M1773" s="145"/>
      <c r="N1773" s="34" t="s">
        <v>4427</v>
      </c>
      <c r="O1773" s="34" t="s">
        <v>98</v>
      </c>
      <c r="P1773" s="35" t="str">
        <f t="shared" si="28"/>
        <v>亀山のむかしばなし／亀山にまつわるひとびとの話／ヤマトタケル</v>
      </c>
      <c r="Q1773" s="160"/>
      <c r="R1773" s="145" t="s">
        <v>3422</v>
      </c>
    </row>
    <row r="1774" spans="1:18" s="139" customFormat="1" ht="21" customHeight="1" x14ac:dyDescent="0.15">
      <c r="A1774" s="136"/>
      <c r="B1774" s="136"/>
      <c r="C1774" s="137"/>
      <c r="D1774" s="137"/>
      <c r="E1774" s="138"/>
      <c r="F1774" s="137"/>
      <c r="G1774" s="165"/>
      <c r="H1774" s="136"/>
      <c r="I1774" s="137"/>
      <c r="J1774" s="136"/>
      <c r="K1774" s="136"/>
      <c r="L1774" s="136"/>
      <c r="M1774" s="136"/>
      <c r="N1774" s="84" t="s">
        <v>4428</v>
      </c>
      <c r="O1774" s="84" t="s">
        <v>105</v>
      </c>
      <c r="P1774" s="85" t="str">
        <f t="shared" si="28"/>
        <v>古典に出てくる亀山／旅</v>
      </c>
      <c r="Q1774" s="79"/>
      <c r="R1774" s="136"/>
    </row>
    <row r="1775" spans="1:18" s="139" customFormat="1" ht="51.75" customHeight="1" x14ac:dyDescent="0.15">
      <c r="A1775" s="151"/>
      <c r="B1775" s="151"/>
      <c r="C1775" s="152"/>
      <c r="D1775" s="152"/>
      <c r="E1775" s="153"/>
      <c r="F1775" s="152"/>
      <c r="G1775" s="169"/>
      <c r="H1775" s="151"/>
      <c r="I1775" s="152"/>
      <c r="J1775" s="151"/>
      <c r="K1775" s="151"/>
      <c r="L1775" s="151"/>
      <c r="M1775" s="151"/>
      <c r="N1775" s="86" t="s">
        <v>234</v>
      </c>
      <c r="O1775" s="86" t="s">
        <v>111</v>
      </c>
      <c r="P1775" s="87" t="str">
        <f t="shared" si="28"/>
        <v>日本の歴史の中の亀山／古代の亀山／古代国家のあゆみと亀山／天平文化と亀山／ヤマトタケルと能褒野</v>
      </c>
      <c r="Q1775" s="157"/>
      <c r="R1775" s="151"/>
    </row>
    <row r="1776" spans="1:18" customFormat="1" ht="15" customHeight="1" x14ac:dyDescent="0.15">
      <c r="A1776" s="142" t="s">
        <v>4229</v>
      </c>
      <c r="B1776" s="142">
        <v>20</v>
      </c>
      <c r="C1776" s="143" t="s">
        <v>4371</v>
      </c>
      <c r="D1776" s="143">
        <v>1992</v>
      </c>
      <c r="E1776" s="144" t="s">
        <v>20</v>
      </c>
      <c r="F1776" s="245"/>
      <c r="G1776" s="120" t="s">
        <v>4429</v>
      </c>
      <c r="H1776" s="246" t="s">
        <v>1336</v>
      </c>
      <c r="I1776" s="247"/>
      <c r="J1776" s="247"/>
      <c r="K1776" s="247"/>
      <c r="L1776" s="248"/>
      <c r="M1776" s="248"/>
      <c r="N1776" s="12"/>
      <c r="O1776" s="12" t="e">
        <v>#VALUE!</v>
      </c>
      <c r="P1776" s="13" t="str">
        <f t="shared" si="28"/>
        <v/>
      </c>
      <c r="Q1776" s="194"/>
      <c r="R1776" s="244" t="s">
        <v>4089</v>
      </c>
    </row>
    <row r="1777" spans="1:18" customFormat="1" ht="15" customHeight="1" x14ac:dyDescent="0.15">
      <c r="A1777" s="142" t="s">
        <v>4229</v>
      </c>
      <c r="B1777" s="142">
        <v>20</v>
      </c>
      <c r="C1777" s="143" t="s">
        <v>4371</v>
      </c>
      <c r="D1777" s="143">
        <v>1992</v>
      </c>
      <c r="E1777" s="144" t="s">
        <v>20</v>
      </c>
      <c r="F1777" s="245"/>
      <c r="G1777" s="120" t="s">
        <v>4430</v>
      </c>
      <c r="H1777" s="246" t="s">
        <v>199</v>
      </c>
      <c r="I1777" s="246" t="s">
        <v>347</v>
      </c>
      <c r="J1777" s="247"/>
      <c r="K1777" s="247"/>
      <c r="L1777" s="248"/>
      <c r="M1777" s="248"/>
      <c r="N1777" s="12"/>
      <c r="O1777" s="12" t="e">
        <v>#VALUE!</v>
      </c>
      <c r="P1777" s="13" t="str">
        <f t="shared" si="28"/>
        <v/>
      </c>
      <c r="Q1777" s="194"/>
      <c r="R1777" s="244" t="s">
        <v>4089</v>
      </c>
    </row>
    <row r="1778" spans="1:18" customFormat="1" ht="28.5" customHeight="1" x14ac:dyDescent="0.15">
      <c r="A1778" s="145" t="s">
        <v>4229</v>
      </c>
      <c r="B1778" s="145">
        <v>20</v>
      </c>
      <c r="C1778" s="146" t="s">
        <v>4371</v>
      </c>
      <c r="D1778" s="146">
        <v>1992</v>
      </c>
      <c r="E1778" s="147" t="s">
        <v>20</v>
      </c>
      <c r="F1778" s="249"/>
      <c r="G1778" s="88" t="s">
        <v>4431</v>
      </c>
      <c r="H1778" s="250" t="s">
        <v>199</v>
      </c>
      <c r="I1778" s="251"/>
      <c r="J1778" s="251" t="s">
        <v>4432</v>
      </c>
      <c r="K1778" s="251"/>
      <c r="L1778" s="252"/>
      <c r="M1778" s="252"/>
      <c r="N1778" s="34" t="s">
        <v>3937</v>
      </c>
      <c r="O1778" s="34" t="s">
        <v>923</v>
      </c>
      <c r="P1778" s="35" t="str">
        <f t="shared" si="28"/>
        <v>むかしの道と交通／亀山の近世の道</v>
      </c>
      <c r="Q1778" s="185"/>
      <c r="R1778" s="253" t="s">
        <v>4089</v>
      </c>
    </row>
    <row r="1779" spans="1:18" customFormat="1" ht="44.25" customHeight="1" x14ac:dyDescent="0.15">
      <c r="A1779" s="151"/>
      <c r="B1779" s="151"/>
      <c r="C1779" s="152"/>
      <c r="D1779" s="152"/>
      <c r="E1779" s="153"/>
      <c r="F1779" s="254"/>
      <c r="G1779" s="91"/>
      <c r="H1779" s="255"/>
      <c r="I1779" s="256"/>
      <c r="J1779" s="256"/>
      <c r="K1779" s="256"/>
      <c r="L1779" s="257"/>
      <c r="M1779" s="257"/>
      <c r="N1779" s="86" t="s">
        <v>3974</v>
      </c>
      <c r="O1779" s="86" t="s">
        <v>3941</v>
      </c>
      <c r="P1779" s="87" t="str">
        <f t="shared" si="28"/>
        <v>亀山のいいとこさがし／景色のよいところや歴史を知る手掛かりとなるもの／関宿のまちなみ</v>
      </c>
      <c r="Q1779" s="170"/>
      <c r="R1779" s="258"/>
    </row>
    <row r="1780" spans="1:18" customFormat="1" ht="28.5" customHeight="1" x14ac:dyDescent="0.15">
      <c r="A1780" s="142" t="s">
        <v>4229</v>
      </c>
      <c r="B1780" s="142">
        <v>20</v>
      </c>
      <c r="C1780" s="143" t="s">
        <v>4371</v>
      </c>
      <c r="D1780" s="143">
        <v>1992</v>
      </c>
      <c r="E1780" s="144" t="s">
        <v>20</v>
      </c>
      <c r="F1780" s="245"/>
      <c r="G1780" s="120" t="s">
        <v>4433</v>
      </c>
      <c r="H1780" s="246" t="s">
        <v>199</v>
      </c>
      <c r="I1780" s="246" t="s">
        <v>347</v>
      </c>
      <c r="J1780" s="247"/>
      <c r="K1780" s="247"/>
      <c r="L1780" s="248"/>
      <c r="M1780" s="248"/>
      <c r="N1780" s="12"/>
      <c r="O1780" s="12" t="e">
        <v>#VALUE!</v>
      </c>
      <c r="P1780" s="13" t="str">
        <f t="shared" si="28"/>
        <v/>
      </c>
      <c r="Q1780" s="194"/>
      <c r="R1780" s="244" t="s">
        <v>4089</v>
      </c>
    </row>
    <row r="1781" spans="1:18" s="139" customFormat="1" ht="15" customHeight="1" x14ac:dyDescent="0.15">
      <c r="A1781" s="142" t="s">
        <v>4229</v>
      </c>
      <c r="B1781" s="142">
        <v>20</v>
      </c>
      <c r="C1781" s="143" t="s">
        <v>4371</v>
      </c>
      <c r="D1781" s="143">
        <v>1992</v>
      </c>
      <c r="E1781" s="144" t="s">
        <v>20</v>
      </c>
      <c r="F1781" s="143" t="s">
        <v>4434</v>
      </c>
      <c r="G1781" s="143"/>
      <c r="H1781" s="142"/>
      <c r="I1781" s="143"/>
      <c r="J1781" s="142"/>
      <c r="K1781" s="142"/>
      <c r="L1781" s="142"/>
      <c r="M1781" s="142"/>
      <c r="N1781" s="12"/>
      <c r="O1781" s="12" t="e">
        <v>#VALUE!</v>
      </c>
      <c r="P1781" s="13" t="str">
        <f t="shared" si="28"/>
        <v/>
      </c>
      <c r="Q1781" s="158"/>
      <c r="R1781" s="142"/>
    </row>
    <row r="1782" spans="1:18" s="139" customFormat="1" ht="28.5" customHeight="1" x14ac:dyDescent="0.15">
      <c r="A1782" s="142" t="s">
        <v>4229</v>
      </c>
      <c r="B1782" s="142">
        <v>20</v>
      </c>
      <c r="C1782" s="143" t="s">
        <v>4435</v>
      </c>
      <c r="D1782" s="143">
        <v>1993</v>
      </c>
      <c r="E1782" s="144" t="s">
        <v>20</v>
      </c>
      <c r="F1782" s="143"/>
      <c r="G1782" s="175" t="s">
        <v>4436</v>
      </c>
      <c r="H1782" s="142"/>
      <c r="I1782" s="143"/>
      <c r="J1782" s="82" t="str">
        <f>HYPERLINK("http://kameyamarekihaku.jp/sisi/RekisiHP/x_siryo_database.html","")</f>
        <v/>
      </c>
      <c r="K1782" s="142"/>
      <c r="L1782" s="142"/>
      <c r="M1782" s="142"/>
      <c r="N1782" s="12"/>
      <c r="O1782" s="12" t="e">
        <v>#VALUE!</v>
      </c>
      <c r="P1782" s="13" t="str">
        <f t="shared" si="28"/>
        <v/>
      </c>
      <c r="Q1782" s="158"/>
      <c r="R1782" s="142" t="s">
        <v>3422</v>
      </c>
    </row>
    <row r="1783" spans="1:18" s="139" customFormat="1" ht="28.5" customHeight="1" x14ac:dyDescent="0.15">
      <c r="A1783" s="142" t="s">
        <v>4229</v>
      </c>
      <c r="B1783" s="142">
        <v>20</v>
      </c>
      <c r="C1783" s="143" t="s">
        <v>4435</v>
      </c>
      <c r="D1783" s="143">
        <v>1993</v>
      </c>
      <c r="E1783" s="144" t="s">
        <v>20</v>
      </c>
      <c r="F1783" s="143"/>
      <c r="G1783" s="175" t="s">
        <v>4437</v>
      </c>
      <c r="H1783" s="142"/>
      <c r="I1783" s="143"/>
      <c r="J1783" s="142"/>
      <c r="K1783" s="142"/>
      <c r="L1783" s="142"/>
      <c r="M1783" s="142"/>
      <c r="N1783" s="12"/>
      <c r="O1783" s="12" t="e">
        <v>#VALUE!</v>
      </c>
      <c r="P1783" s="13" t="str">
        <f t="shared" si="28"/>
        <v/>
      </c>
      <c r="Q1783" s="158"/>
      <c r="R1783" s="142" t="s">
        <v>3422</v>
      </c>
    </row>
    <row r="1784" spans="1:18" s="139" customFormat="1" ht="28.5" customHeight="1" x14ac:dyDescent="0.15">
      <c r="A1784" s="142" t="s">
        <v>4229</v>
      </c>
      <c r="B1784" s="142">
        <v>20</v>
      </c>
      <c r="C1784" s="143" t="s">
        <v>4435</v>
      </c>
      <c r="D1784" s="143">
        <v>1993</v>
      </c>
      <c r="E1784" s="144" t="s">
        <v>20</v>
      </c>
      <c r="F1784" s="143"/>
      <c r="G1784" s="175" t="s">
        <v>4438</v>
      </c>
      <c r="H1784" s="142" t="s">
        <v>2160</v>
      </c>
      <c r="I1784" s="143" t="s">
        <v>4439</v>
      </c>
      <c r="J1784" s="142" t="s">
        <v>4440</v>
      </c>
      <c r="K1784" s="142"/>
      <c r="L1784" s="142"/>
      <c r="M1784" s="142"/>
      <c r="N1784" s="12"/>
      <c r="O1784" s="12" t="e">
        <v>#VALUE!</v>
      </c>
      <c r="P1784" s="13" t="str">
        <f t="shared" si="28"/>
        <v/>
      </c>
      <c r="Q1784" s="158"/>
      <c r="R1784" s="142" t="s">
        <v>4441</v>
      </c>
    </row>
    <row r="1785" spans="1:18" s="139" customFormat="1" ht="28.15" customHeight="1" x14ac:dyDescent="0.15">
      <c r="A1785" s="142" t="s">
        <v>4229</v>
      </c>
      <c r="B1785" s="142">
        <v>20</v>
      </c>
      <c r="C1785" s="143" t="s">
        <v>4435</v>
      </c>
      <c r="D1785" s="143">
        <v>1993</v>
      </c>
      <c r="E1785" s="144" t="s">
        <v>20</v>
      </c>
      <c r="F1785" s="143"/>
      <c r="G1785" s="175" t="s">
        <v>4442</v>
      </c>
      <c r="H1785" s="142" t="s">
        <v>122</v>
      </c>
      <c r="I1785" s="143" t="s">
        <v>4443</v>
      </c>
      <c r="J1785" s="142" t="s">
        <v>4444</v>
      </c>
      <c r="K1785" s="142"/>
      <c r="L1785" s="142"/>
      <c r="M1785" s="142"/>
      <c r="N1785" s="12"/>
      <c r="O1785" s="12" t="e">
        <v>#VALUE!</v>
      </c>
      <c r="P1785" s="13" t="str">
        <f t="shared" si="28"/>
        <v/>
      </c>
      <c r="Q1785" s="158"/>
      <c r="R1785" s="142" t="s">
        <v>3422</v>
      </c>
    </row>
    <row r="1786" spans="1:18" s="139" customFormat="1" ht="14.25" customHeight="1" x14ac:dyDescent="0.15">
      <c r="A1786" s="145" t="s">
        <v>4229</v>
      </c>
      <c r="B1786" s="145">
        <v>20</v>
      </c>
      <c r="C1786" s="146" t="s">
        <v>4435</v>
      </c>
      <c r="D1786" s="146">
        <v>1993</v>
      </c>
      <c r="E1786" s="147" t="s">
        <v>34</v>
      </c>
      <c r="F1786" s="146"/>
      <c r="G1786" s="163" t="s">
        <v>4445</v>
      </c>
      <c r="H1786" s="88" t="s">
        <v>4446</v>
      </c>
      <c r="I1786" s="163" t="s">
        <v>394</v>
      </c>
      <c r="J1786" s="145" t="s">
        <v>4447</v>
      </c>
      <c r="K1786" s="145"/>
      <c r="L1786" s="145" t="s">
        <v>4448</v>
      </c>
      <c r="M1786" s="145"/>
      <c r="N1786" s="310" t="s">
        <v>4449</v>
      </c>
      <c r="O1786" s="310" t="s">
        <v>4450</v>
      </c>
      <c r="P1786" s="311" t="str">
        <f t="shared" si="28"/>
        <v>日本の歴史の中の亀山／古代の亀山／亀山のあけぼの／人が住み始めたころの亀山／縄文時代の暮らし／忍山遺跡</v>
      </c>
      <c r="Q1786" s="17" t="str">
        <f>HYPERLINK("http:/kameyamarekihaku.jp/sisi/KoukoHP/iseki.html","市史考古編遺跡一覧N0.7")</f>
        <v>市史考古編遺跡一覧N0.7</v>
      </c>
      <c r="R1786" s="347" t="s">
        <v>4451</v>
      </c>
    </row>
    <row r="1787" spans="1:18" s="139" customFormat="1" ht="13.5" customHeight="1" x14ac:dyDescent="0.15">
      <c r="A1787" s="136"/>
      <c r="B1787" s="136"/>
      <c r="C1787" s="137"/>
      <c r="D1787" s="137"/>
      <c r="E1787" s="138"/>
      <c r="F1787" s="137"/>
      <c r="G1787" s="165"/>
      <c r="H1787" s="90"/>
      <c r="I1787" s="165"/>
      <c r="J1787" s="136"/>
      <c r="K1787" s="136"/>
      <c r="L1787" s="136"/>
      <c r="M1787" s="136"/>
      <c r="N1787" s="317"/>
      <c r="O1787" s="317" t="e">
        <v>#VALUE!</v>
      </c>
      <c r="P1787" s="318" t="str">
        <f t="shared" si="28"/>
        <v/>
      </c>
      <c r="Q1787" s="21" t="str">
        <f>HYPERLINK("http:/kameyamarekihaku.jp/sisi/KoukoHP/dai8sho.html","市史考古編第8章")</f>
        <v>市史考古編第8章</v>
      </c>
      <c r="R1787" s="348"/>
    </row>
    <row r="1788" spans="1:18" s="233" customFormat="1" ht="39.75" customHeight="1" x14ac:dyDescent="0.15">
      <c r="A1788" s="151"/>
      <c r="B1788" s="151"/>
      <c r="C1788" s="152"/>
      <c r="D1788" s="152"/>
      <c r="E1788" s="153"/>
      <c r="F1788" s="152"/>
      <c r="G1788" s="169"/>
      <c r="H1788" s="91"/>
      <c r="I1788" s="169"/>
      <c r="J1788" s="151"/>
      <c r="K1788" s="151"/>
      <c r="L1788" s="151"/>
      <c r="M1788" s="151"/>
      <c r="N1788" s="306"/>
      <c r="O1788" s="306" t="e">
        <v>#VALUE!</v>
      </c>
      <c r="P1788" s="308" t="str">
        <f t="shared" si="28"/>
        <v/>
      </c>
      <c r="Q1788" s="10" t="str">
        <f>HYPERLINK("http:/kameyamarekihaku.jp/sisi/tuusiHP_next/tuusi-index.html#kingendai0904","市史通史編 近代・現代第9章第4節")</f>
        <v>市史通史編 近代・現代第9章第4節</v>
      </c>
      <c r="R1788" s="157"/>
    </row>
    <row r="1789" spans="1:18" s="139" customFormat="1" ht="28.5" customHeight="1" x14ac:dyDescent="0.15">
      <c r="A1789" s="151" t="s">
        <v>4229</v>
      </c>
      <c r="B1789" s="151">
        <v>20</v>
      </c>
      <c r="C1789" s="152" t="s">
        <v>4452</v>
      </c>
      <c r="D1789" s="152">
        <v>1993</v>
      </c>
      <c r="E1789" s="153" t="s">
        <v>20</v>
      </c>
      <c r="F1789" s="152"/>
      <c r="G1789" s="169" t="s">
        <v>4453</v>
      </c>
      <c r="H1789" s="151" t="s">
        <v>250</v>
      </c>
      <c r="I1789" s="152" t="s">
        <v>4454</v>
      </c>
      <c r="J1789" s="151" t="s">
        <v>4455</v>
      </c>
      <c r="K1789" s="151"/>
      <c r="L1789" s="151"/>
      <c r="M1789" s="151"/>
      <c r="N1789" s="86"/>
      <c r="O1789" s="86" t="e">
        <v>#VALUE!</v>
      </c>
      <c r="P1789" s="87" t="str">
        <f t="shared" si="28"/>
        <v/>
      </c>
      <c r="Q1789" s="157"/>
      <c r="R1789" s="151" t="s">
        <v>3422</v>
      </c>
    </row>
    <row r="1790" spans="1:18" s="139" customFormat="1" ht="57" customHeight="1" x14ac:dyDescent="0.15">
      <c r="A1790" s="142" t="s">
        <v>4229</v>
      </c>
      <c r="B1790" s="142">
        <v>20</v>
      </c>
      <c r="C1790" s="143" t="s">
        <v>4452</v>
      </c>
      <c r="D1790" s="143">
        <v>1993</v>
      </c>
      <c r="E1790" s="144" t="s">
        <v>34</v>
      </c>
      <c r="F1790" s="143"/>
      <c r="G1790" s="175" t="s">
        <v>4456</v>
      </c>
      <c r="H1790" s="142" t="s">
        <v>2191</v>
      </c>
      <c r="I1790" s="143" t="s">
        <v>4457</v>
      </c>
      <c r="J1790" s="142" t="s">
        <v>4458</v>
      </c>
      <c r="K1790" s="142"/>
      <c r="L1790" s="142"/>
      <c r="M1790" s="142" t="s">
        <v>4459</v>
      </c>
      <c r="N1790" s="12" t="s">
        <v>4460</v>
      </c>
      <c r="O1790" s="12" t="s">
        <v>1135</v>
      </c>
      <c r="P1790" s="13" t="str">
        <f t="shared" si="28"/>
        <v>むかしの道と交通／亀山の近世の道／一里塚</v>
      </c>
      <c r="Q1790" s="158"/>
      <c r="R1790" s="142" t="s">
        <v>3422</v>
      </c>
    </row>
    <row r="1791" spans="1:18" s="139" customFormat="1" ht="28.5" customHeight="1" x14ac:dyDescent="0.15">
      <c r="A1791" s="142" t="s">
        <v>4229</v>
      </c>
      <c r="B1791" s="142">
        <v>20</v>
      </c>
      <c r="C1791" s="143" t="s">
        <v>4452</v>
      </c>
      <c r="D1791" s="143">
        <v>1993</v>
      </c>
      <c r="E1791" s="144" t="s">
        <v>34</v>
      </c>
      <c r="F1791" s="143"/>
      <c r="G1791" s="175" t="s">
        <v>4461</v>
      </c>
      <c r="H1791" s="142" t="s">
        <v>464</v>
      </c>
      <c r="I1791" s="143" t="s">
        <v>1157</v>
      </c>
      <c r="J1791" s="142" t="s">
        <v>4462</v>
      </c>
      <c r="K1791" s="142"/>
      <c r="L1791" s="142"/>
      <c r="M1791" s="142"/>
      <c r="N1791" s="12" t="s">
        <v>1083</v>
      </c>
      <c r="O1791" s="12" t="s">
        <v>774</v>
      </c>
      <c r="P1791" s="13" t="str">
        <f t="shared" si="28"/>
        <v>亀山のいいとこさがし／建物</v>
      </c>
      <c r="Q1791" s="158"/>
      <c r="R1791" s="142" t="s">
        <v>3422</v>
      </c>
    </row>
    <row r="1792" spans="1:18" s="139" customFormat="1" ht="15" customHeight="1" x14ac:dyDescent="0.15">
      <c r="A1792" s="142" t="s">
        <v>4229</v>
      </c>
      <c r="B1792" s="142">
        <v>20</v>
      </c>
      <c r="C1792" s="143" t="s">
        <v>4452</v>
      </c>
      <c r="D1792" s="143">
        <v>1993</v>
      </c>
      <c r="E1792" s="144" t="s">
        <v>20</v>
      </c>
      <c r="F1792" s="143"/>
      <c r="G1792" s="175" t="s">
        <v>4463</v>
      </c>
      <c r="H1792" s="142" t="s">
        <v>3321</v>
      </c>
      <c r="I1792" s="143" t="s">
        <v>4464</v>
      </c>
      <c r="J1792" s="142" t="s">
        <v>4465</v>
      </c>
      <c r="K1792" s="142"/>
      <c r="L1792" s="142"/>
      <c r="M1792" s="142"/>
      <c r="N1792" s="12"/>
      <c r="O1792" s="12" t="e">
        <v>#VALUE!</v>
      </c>
      <c r="P1792" s="13" t="str">
        <f t="shared" si="28"/>
        <v/>
      </c>
      <c r="Q1792" s="158"/>
      <c r="R1792" s="142" t="s">
        <v>3422</v>
      </c>
    </row>
    <row r="1793" spans="1:18" s="139" customFormat="1" ht="28.5" customHeight="1" x14ac:dyDescent="0.15">
      <c r="A1793" s="142" t="s">
        <v>4229</v>
      </c>
      <c r="B1793" s="142">
        <v>20</v>
      </c>
      <c r="C1793" s="143" t="s">
        <v>4452</v>
      </c>
      <c r="D1793" s="143">
        <v>1993</v>
      </c>
      <c r="E1793" s="144" t="s">
        <v>20</v>
      </c>
      <c r="F1793" s="143"/>
      <c r="G1793" s="175" t="s">
        <v>4466</v>
      </c>
      <c r="H1793" s="142"/>
      <c r="I1793" s="143"/>
      <c r="J1793" s="142"/>
      <c r="K1793" s="142"/>
      <c r="L1793" s="142"/>
      <c r="M1793" s="142"/>
      <c r="N1793" s="12"/>
      <c r="O1793" s="12" t="e">
        <v>#VALUE!</v>
      </c>
      <c r="P1793" s="13" t="str">
        <f t="shared" si="28"/>
        <v/>
      </c>
      <c r="Q1793" s="158"/>
      <c r="R1793" s="142" t="s">
        <v>3422</v>
      </c>
    </row>
    <row r="1794" spans="1:18" s="139" customFormat="1" ht="52.35" customHeight="1" x14ac:dyDescent="0.15">
      <c r="A1794" s="142" t="s">
        <v>4229</v>
      </c>
      <c r="B1794" s="142">
        <v>20</v>
      </c>
      <c r="C1794" s="143" t="s">
        <v>4452</v>
      </c>
      <c r="D1794" s="143">
        <v>1993</v>
      </c>
      <c r="E1794" s="144" t="s">
        <v>20</v>
      </c>
      <c r="F1794" s="143"/>
      <c r="G1794" s="175" t="s">
        <v>4467</v>
      </c>
      <c r="H1794" s="142"/>
      <c r="I1794" s="143"/>
      <c r="J1794" s="142"/>
      <c r="K1794" s="142"/>
      <c r="L1794" s="142"/>
      <c r="M1794" s="142"/>
      <c r="N1794" s="12"/>
      <c r="O1794" s="12" t="e">
        <v>#VALUE!</v>
      </c>
      <c r="P1794" s="13" t="str">
        <f t="shared" si="28"/>
        <v/>
      </c>
      <c r="Q1794" s="158"/>
      <c r="R1794" s="142" t="s">
        <v>3422</v>
      </c>
    </row>
    <row r="1795" spans="1:18" s="139" customFormat="1" ht="21" customHeight="1" x14ac:dyDescent="0.15">
      <c r="A1795" s="145" t="s">
        <v>4229</v>
      </c>
      <c r="B1795" s="145">
        <v>20</v>
      </c>
      <c r="C1795" s="146" t="s">
        <v>4452</v>
      </c>
      <c r="D1795" s="146">
        <v>1993</v>
      </c>
      <c r="E1795" s="147" t="s">
        <v>34</v>
      </c>
      <c r="F1795" s="146"/>
      <c r="G1795" s="349" t="s">
        <v>4468</v>
      </c>
      <c r="H1795" s="145"/>
      <c r="I1795" s="146"/>
      <c r="J1795" s="145"/>
      <c r="K1795" s="145"/>
      <c r="L1795" s="71" t="str">
        <f>HYPERLINK("http://kameyamarekihaku.jp/20kikaku/webzuroku/pege2/01.html","画像史料：保永堂版『雪晴』")</f>
        <v>画像史料：保永堂版『雪晴』</v>
      </c>
      <c r="M1795" s="145"/>
      <c r="N1795" s="32" t="s">
        <v>4469</v>
      </c>
      <c r="O1795" s="32" t="s">
        <v>1608</v>
      </c>
      <c r="P1795" s="33" t="str">
        <f t="shared" si="28"/>
        <v>亀山城と宿場／亀山城のつくり／京口門</v>
      </c>
      <c r="Q1795" s="17" t="str">
        <f>HYPERLINK("http://kameyamarekihaku.jp/20kikaku/webzuroku/kikakuten20.html","過去の企画展　館蔵浮世絵展")</f>
        <v>過去の企画展　館蔵浮世絵展</v>
      </c>
      <c r="R1795" s="347" t="s">
        <v>4470</v>
      </c>
    </row>
    <row r="1796" spans="1:18" s="139" customFormat="1" ht="45" customHeight="1" x14ac:dyDescent="0.15">
      <c r="A1796" s="136"/>
      <c r="B1796" s="136"/>
      <c r="C1796" s="137"/>
      <c r="D1796" s="137"/>
      <c r="E1796" s="138"/>
      <c r="F1796" s="137"/>
      <c r="G1796" s="350"/>
      <c r="H1796" s="136"/>
      <c r="I1796" s="137"/>
      <c r="J1796" s="136"/>
      <c r="K1796" s="136"/>
      <c r="L1796" s="76"/>
      <c r="M1796" s="136"/>
      <c r="N1796" s="19" t="s">
        <v>4471</v>
      </c>
      <c r="O1796" s="19" t="s">
        <v>4472</v>
      </c>
      <c r="P1796" s="20" t="str">
        <f t="shared" si="28"/>
        <v>日本の歴史の中の亀山／近世の亀山／新しい学問と化政文化／亀山・関・坂之下を描いた浮世絵</v>
      </c>
      <c r="Q1796" s="28" t="str">
        <f>HYPERLINK("http://kameyamarekihaku.jp/yane_no_nai/131219_seki_syo.html","関小2年出前授業実践例「むかしの亀山がえがかれたはんがでしんけいすいじゃくをしよう」")</f>
        <v>関小2年出前授業実践例「むかしの亀山がえがかれたはんがでしんけいすいじゃくをしよう」</v>
      </c>
      <c r="R1796" s="332"/>
    </row>
    <row r="1797" spans="1:18" s="139" customFormat="1" ht="20.25" customHeight="1" x14ac:dyDescent="0.15">
      <c r="A1797" s="151"/>
      <c r="B1797" s="151"/>
      <c r="C1797" s="152"/>
      <c r="D1797" s="152"/>
      <c r="E1797" s="153"/>
      <c r="F1797" s="152"/>
      <c r="G1797" s="169"/>
      <c r="H1797" s="151"/>
      <c r="I1797" s="152"/>
      <c r="J1797" s="151"/>
      <c r="K1797" s="151"/>
      <c r="L1797" s="102"/>
      <c r="M1797" s="151"/>
      <c r="N1797" s="29" t="s">
        <v>1516</v>
      </c>
      <c r="O1797" s="29" t="s">
        <v>1517</v>
      </c>
      <c r="P1797" s="30" t="str">
        <f t="shared" ref="P1797:P1860" si="29">IFERROR(HYPERLINK(O1797,N1797),"")</f>
        <v>亀山のいいとこさがし／絵</v>
      </c>
      <c r="Q1797" s="69"/>
      <c r="R1797" s="157"/>
    </row>
    <row r="1798" spans="1:18" s="139" customFormat="1" ht="28.15" customHeight="1" x14ac:dyDescent="0.15">
      <c r="A1798" s="142" t="s">
        <v>4229</v>
      </c>
      <c r="B1798" s="142">
        <v>20</v>
      </c>
      <c r="C1798" s="143" t="s">
        <v>4452</v>
      </c>
      <c r="D1798" s="143">
        <v>1993</v>
      </c>
      <c r="E1798" s="144" t="s">
        <v>20</v>
      </c>
      <c r="F1798" s="143"/>
      <c r="G1798" s="175" t="s">
        <v>4473</v>
      </c>
      <c r="H1798" s="142" t="s">
        <v>2191</v>
      </c>
      <c r="I1798" s="143" t="s">
        <v>147</v>
      </c>
      <c r="J1798" s="142" t="s">
        <v>4474</v>
      </c>
      <c r="K1798" s="142"/>
      <c r="L1798" s="142"/>
      <c r="M1798" s="142"/>
      <c r="N1798" s="12"/>
      <c r="O1798" s="12" t="e">
        <v>#VALUE!</v>
      </c>
      <c r="P1798" s="13" t="str">
        <f t="shared" si="29"/>
        <v/>
      </c>
      <c r="Q1798" s="158"/>
      <c r="R1798" s="142" t="s">
        <v>4475</v>
      </c>
    </row>
    <row r="1799" spans="1:18" customFormat="1" ht="33" customHeight="1" x14ac:dyDescent="0.15">
      <c r="A1799" s="142" t="s">
        <v>4229</v>
      </c>
      <c r="B1799" s="142">
        <v>20</v>
      </c>
      <c r="C1799" s="143" t="s">
        <v>4452</v>
      </c>
      <c r="D1799" s="143">
        <v>1993</v>
      </c>
      <c r="E1799" s="144" t="s">
        <v>20</v>
      </c>
      <c r="F1799" s="245"/>
      <c r="G1799" s="120" t="s">
        <v>4476</v>
      </c>
      <c r="H1799" s="246" t="s">
        <v>199</v>
      </c>
      <c r="I1799" s="246" t="s">
        <v>415</v>
      </c>
      <c r="J1799" s="247"/>
      <c r="K1799" s="247"/>
      <c r="L1799" s="248"/>
      <c r="M1799" s="248"/>
      <c r="N1799" s="12" t="s">
        <v>2919</v>
      </c>
      <c r="O1799" s="12" t="s">
        <v>2731</v>
      </c>
      <c r="P1799" s="13" t="str">
        <f t="shared" si="29"/>
        <v>日本の歴史の中の亀山／現代の亀山／教育と医療・福祉／保育園</v>
      </c>
      <c r="Q1799" s="194"/>
      <c r="R1799" s="248" t="s">
        <v>4089</v>
      </c>
    </row>
    <row r="1800" spans="1:18" customFormat="1" ht="15" customHeight="1" x14ac:dyDescent="0.15">
      <c r="A1800" s="142" t="s">
        <v>4229</v>
      </c>
      <c r="B1800" s="142">
        <v>20</v>
      </c>
      <c r="C1800" s="143" t="s">
        <v>4435</v>
      </c>
      <c r="D1800" s="143">
        <v>1993</v>
      </c>
      <c r="E1800" s="144" t="s">
        <v>20</v>
      </c>
      <c r="F1800" s="245"/>
      <c r="G1800" s="120" t="s">
        <v>4477</v>
      </c>
      <c r="H1800" s="246" t="s">
        <v>199</v>
      </c>
      <c r="I1800" s="246" t="s">
        <v>4250</v>
      </c>
      <c r="J1800" s="247" t="s">
        <v>2581</v>
      </c>
      <c r="K1800" s="247"/>
      <c r="L1800" s="248"/>
      <c r="M1800" s="248"/>
      <c r="N1800" s="23"/>
      <c r="O1800" s="23" t="e">
        <v>#VALUE!</v>
      </c>
      <c r="P1800" s="24" t="str">
        <f t="shared" si="29"/>
        <v/>
      </c>
      <c r="Q1800" s="47"/>
      <c r="R1800" s="248" t="s">
        <v>4089</v>
      </c>
    </row>
    <row r="1801" spans="1:18" customFormat="1" ht="15" customHeight="1" x14ac:dyDescent="0.15">
      <c r="A1801" s="142" t="s">
        <v>4229</v>
      </c>
      <c r="B1801" s="142">
        <v>20</v>
      </c>
      <c r="C1801" s="143" t="s">
        <v>4435</v>
      </c>
      <c r="D1801" s="143">
        <v>1993</v>
      </c>
      <c r="E1801" s="144" t="s">
        <v>20</v>
      </c>
      <c r="F1801" s="245"/>
      <c r="G1801" s="120" t="s">
        <v>4478</v>
      </c>
      <c r="H1801" s="246" t="s">
        <v>1336</v>
      </c>
      <c r="I1801" s="247"/>
      <c r="J1801" s="247"/>
      <c r="K1801" s="247"/>
      <c r="L1801" s="248"/>
      <c r="M1801" s="248"/>
      <c r="N1801" s="12"/>
      <c r="O1801" s="12" t="e">
        <v>#VALUE!</v>
      </c>
      <c r="P1801" s="13" t="str">
        <f t="shared" si="29"/>
        <v/>
      </c>
      <c r="Q1801" s="194"/>
      <c r="R1801" s="248" t="s">
        <v>4089</v>
      </c>
    </row>
    <row r="1802" spans="1:18" s="139" customFormat="1" ht="28.5" customHeight="1" x14ac:dyDescent="0.15">
      <c r="A1802" s="142" t="s">
        <v>4229</v>
      </c>
      <c r="B1802" s="142">
        <v>20</v>
      </c>
      <c r="C1802" s="143" t="s">
        <v>4479</v>
      </c>
      <c r="D1802" s="143">
        <v>1993</v>
      </c>
      <c r="E1802" s="144" t="s">
        <v>34</v>
      </c>
      <c r="F1802" s="143" t="s">
        <v>4480</v>
      </c>
      <c r="G1802" s="143"/>
      <c r="H1802" s="142"/>
      <c r="I1802" s="143"/>
      <c r="J1802" s="142"/>
      <c r="K1802" s="142"/>
      <c r="L1802" s="142"/>
      <c r="M1802" s="142"/>
      <c r="N1802" s="12"/>
      <c r="O1802" s="12" t="e">
        <v>#VALUE!</v>
      </c>
      <c r="P1802" s="13" t="str">
        <f t="shared" si="29"/>
        <v/>
      </c>
      <c r="Q1802" s="158"/>
      <c r="R1802" s="142"/>
    </row>
    <row r="1803" spans="1:18" s="139" customFormat="1" ht="28.5" customHeight="1" x14ac:dyDescent="0.15">
      <c r="A1803" s="142" t="s">
        <v>4229</v>
      </c>
      <c r="B1803" s="142">
        <v>20</v>
      </c>
      <c r="C1803" s="143" t="s">
        <v>4481</v>
      </c>
      <c r="D1803" s="143">
        <v>1994</v>
      </c>
      <c r="E1803" s="144" t="s">
        <v>20</v>
      </c>
      <c r="F1803" s="143"/>
      <c r="G1803" s="143" t="s">
        <v>4482</v>
      </c>
      <c r="H1803" s="142"/>
      <c r="I1803" s="143"/>
      <c r="J1803" s="142"/>
      <c r="K1803" s="142"/>
      <c r="L1803" s="142"/>
      <c r="M1803" s="142"/>
      <c r="N1803" s="12"/>
      <c r="O1803" s="12" t="e">
        <v>#VALUE!</v>
      </c>
      <c r="P1803" s="13" t="str">
        <f t="shared" si="29"/>
        <v/>
      </c>
      <c r="Q1803" s="158"/>
      <c r="R1803" s="142" t="s">
        <v>3422</v>
      </c>
    </row>
    <row r="1804" spans="1:18" s="139" customFormat="1" ht="15" customHeight="1" x14ac:dyDescent="0.15">
      <c r="A1804" s="142" t="s">
        <v>4229</v>
      </c>
      <c r="B1804" s="142">
        <v>20</v>
      </c>
      <c r="C1804" s="143" t="s">
        <v>4481</v>
      </c>
      <c r="D1804" s="143">
        <v>1994</v>
      </c>
      <c r="E1804" s="144" t="s">
        <v>20</v>
      </c>
      <c r="F1804" s="143"/>
      <c r="G1804" s="143" t="s">
        <v>4483</v>
      </c>
      <c r="H1804" s="142"/>
      <c r="I1804" s="143"/>
      <c r="J1804" s="142"/>
      <c r="K1804" s="142"/>
      <c r="L1804" s="142"/>
      <c r="M1804" s="142"/>
      <c r="N1804" s="12"/>
      <c r="O1804" s="12" t="e">
        <v>#VALUE!</v>
      </c>
      <c r="P1804" s="13" t="str">
        <f t="shared" si="29"/>
        <v/>
      </c>
      <c r="Q1804" s="158"/>
      <c r="R1804" s="142" t="s">
        <v>4484</v>
      </c>
    </row>
    <row r="1805" spans="1:18" s="139" customFormat="1" ht="15" customHeight="1" x14ac:dyDescent="0.15">
      <c r="A1805" s="142" t="s">
        <v>4229</v>
      </c>
      <c r="B1805" s="142">
        <v>20</v>
      </c>
      <c r="C1805" s="143" t="s">
        <v>4481</v>
      </c>
      <c r="D1805" s="143">
        <v>1994</v>
      </c>
      <c r="E1805" s="144" t="s">
        <v>20</v>
      </c>
      <c r="F1805" s="143"/>
      <c r="G1805" s="175" t="s">
        <v>4485</v>
      </c>
      <c r="H1805" s="142"/>
      <c r="I1805" s="143"/>
      <c r="J1805" s="142"/>
      <c r="K1805" s="142"/>
      <c r="L1805" s="142"/>
      <c r="M1805" s="142"/>
      <c r="N1805" s="12"/>
      <c r="O1805" s="12" t="e">
        <v>#VALUE!</v>
      </c>
      <c r="P1805" s="13" t="str">
        <f t="shared" si="29"/>
        <v/>
      </c>
      <c r="Q1805" s="158"/>
      <c r="R1805" s="142" t="s">
        <v>3422</v>
      </c>
    </row>
    <row r="1806" spans="1:18" s="139" customFormat="1" ht="28.15" customHeight="1" x14ac:dyDescent="0.15">
      <c r="A1806" s="142" t="s">
        <v>4229</v>
      </c>
      <c r="B1806" s="142">
        <v>20</v>
      </c>
      <c r="C1806" s="143" t="s">
        <v>4481</v>
      </c>
      <c r="D1806" s="143">
        <v>1994</v>
      </c>
      <c r="E1806" s="144" t="s">
        <v>20</v>
      </c>
      <c r="F1806" s="143"/>
      <c r="G1806" s="143" t="s">
        <v>4486</v>
      </c>
      <c r="H1806" s="142"/>
      <c r="I1806" s="143"/>
      <c r="J1806" s="142"/>
      <c r="K1806" s="142"/>
      <c r="L1806" s="142"/>
      <c r="M1806" s="142"/>
      <c r="N1806" s="12"/>
      <c r="O1806" s="12" t="e">
        <v>#VALUE!</v>
      </c>
      <c r="P1806" s="13" t="str">
        <f t="shared" si="29"/>
        <v/>
      </c>
      <c r="Q1806" s="158"/>
      <c r="R1806" s="142" t="s">
        <v>3422</v>
      </c>
    </row>
    <row r="1807" spans="1:18" s="139" customFormat="1" ht="43.5" customHeight="1" x14ac:dyDescent="0.15">
      <c r="A1807" s="142" t="s">
        <v>4229</v>
      </c>
      <c r="B1807" s="142">
        <v>20</v>
      </c>
      <c r="C1807" s="143" t="s">
        <v>4481</v>
      </c>
      <c r="D1807" s="143">
        <v>1994</v>
      </c>
      <c r="E1807" s="144" t="s">
        <v>20</v>
      </c>
      <c r="F1807" s="143"/>
      <c r="G1807" s="143" t="s">
        <v>4487</v>
      </c>
      <c r="H1807" s="142" t="s">
        <v>4488</v>
      </c>
      <c r="I1807" s="143" t="s">
        <v>4489</v>
      </c>
      <c r="J1807" s="142" t="s">
        <v>4490</v>
      </c>
      <c r="K1807" s="142"/>
      <c r="L1807" s="142"/>
      <c r="M1807" s="142"/>
      <c r="N1807" s="12"/>
      <c r="O1807" s="12" t="e">
        <v>#VALUE!</v>
      </c>
      <c r="P1807" s="13" t="str">
        <f t="shared" si="29"/>
        <v/>
      </c>
      <c r="Q1807" s="158"/>
      <c r="R1807" s="142" t="s">
        <v>3422</v>
      </c>
    </row>
    <row r="1808" spans="1:18" s="139" customFormat="1" ht="28.5" customHeight="1" x14ac:dyDescent="0.15">
      <c r="A1808" s="142" t="s">
        <v>4229</v>
      </c>
      <c r="B1808" s="142">
        <v>20</v>
      </c>
      <c r="C1808" s="143" t="s">
        <v>4481</v>
      </c>
      <c r="D1808" s="143">
        <v>1994</v>
      </c>
      <c r="E1808" s="144" t="s">
        <v>20</v>
      </c>
      <c r="F1808" s="143"/>
      <c r="G1808" s="143" t="s">
        <v>4491</v>
      </c>
      <c r="H1808" s="142" t="s">
        <v>122</v>
      </c>
      <c r="I1808" s="143" t="s">
        <v>4492</v>
      </c>
      <c r="J1808" s="142" t="s">
        <v>4440</v>
      </c>
      <c r="K1808" s="142"/>
      <c r="L1808" s="142"/>
      <c r="M1808" s="142"/>
      <c r="N1808" s="12"/>
      <c r="O1808" s="12" t="e">
        <v>#VALUE!</v>
      </c>
      <c r="P1808" s="13" t="str">
        <f t="shared" si="29"/>
        <v/>
      </c>
      <c r="Q1808" s="158"/>
      <c r="R1808" s="142" t="s">
        <v>4493</v>
      </c>
    </row>
    <row r="1809" spans="1:18" s="139" customFormat="1" ht="15" customHeight="1" x14ac:dyDescent="0.15">
      <c r="A1809" s="142" t="s">
        <v>4229</v>
      </c>
      <c r="B1809" s="142">
        <v>20</v>
      </c>
      <c r="C1809" s="143" t="s">
        <v>4481</v>
      </c>
      <c r="D1809" s="143">
        <v>1994</v>
      </c>
      <c r="E1809" s="144" t="s">
        <v>20</v>
      </c>
      <c r="F1809" s="143"/>
      <c r="G1809" s="143" t="s">
        <v>4494</v>
      </c>
      <c r="H1809" s="142" t="s">
        <v>464</v>
      </c>
      <c r="I1809" s="175" t="s">
        <v>3433</v>
      </c>
      <c r="J1809" s="142" t="s">
        <v>4495</v>
      </c>
      <c r="K1809" s="142"/>
      <c r="L1809" s="142"/>
      <c r="M1809" s="142"/>
      <c r="N1809" s="12"/>
      <c r="O1809" s="12" t="e">
        <v>#VALUE!</v>
      </c>
      <c r="P1809" s="13" t="str">
        <f t="shared" si="29"/>
        <v/>
      </c>
      <c r="Q1809" s="158"/>
      <c r="R1809" s="142" t="s">
        <v>3422</v>
      </c>
    </row>
    <row r="1810" spans="1:18" s="139" customFormat="1" ht="28.5" customHeight="1" x14ac:dyDescent="0.15">
      <c r="A1810" s="142" t="s">
        <v>4229</v>
      </c>
      <c r="B1810" s="142">
        <v>20</v>
      </c>
      <c r="C1810" s="143" t="s">
        <v>4481</v>
      </c>
      <c r="D1810" s="143">
        <v>1994</v>
      </c>
      <c r="E1810" s="144" t="s">
        <v>20</v>
      </c>
      <c r="F1810" s="143"/>
      <c r="G1810" s="143" t="s">
        <v>4496</v>
      </c>
      <c r="H1810" s="142" t="s">
        <v>464</v>
      </c>
      <c r="I1810" s="143" t="s">
        <v>698</v>
      </c>
      <c r="J1810" s="142" t="s">
        <v>4419</v>
      </c>
      <c r="K1810" s="142"/>
      <c r="L1810" s="142"/>
      <c r="M1810" s="142"/>
      <c r="N1810" s="12" t="s">
        <v>3011</v>
      </c>
      <c r="O1810" s="12" t="s">
        <v>2759</v>
      </c>
      <c r="P1810" s="13" t="str">
        <f t="shared" si="29"/>
        <v>日本の歴史の中の亀山／現代の亀山／教育と医療・福祉／図書館</v>
      </c>
      <c r="Q1810" s="158"/>
      <c r="R1810" s="142" t="s">
        <v>3422</v>
      </c>
    </row>
    <row r="1811" spans="1:18" s="139" customFormat="1" ht="30" customHeight="1" x14ac:dyDescent="0.15">
      <c r="A1811" s="142" t="s">
        <v>4229</v>
      </c>
      <c r="B1811" s="142">
        <v>20</v>
      </c>
      <c r="C1811" s="143" t="s">
        <v>4481</v>
      </c>
      <c r="D1811" s="143">
        <v>1994</v>
      </c>
      <c r="E1811" s="144" t="s">
        <v>34</v>
      </c>
      <c r="F1811" s="143"/>
      <c r="G1811" s="143" t="s">
        <v>4497</v>
      </c>
      <c r="H1811" s="142" t="s">
        <v>464</v>
      </c>
      <c r="I1811" s="143" t="s">
        <v>698</v>
      </c>
      <c r="J1811" s="112" t="s">
        <v>4498</v>
      </c>
      <c r="K1811" s="142"/>
      <c r="L1811" s="82" t="str">
        <f>HYPERLINK("http://kameyamarekihaku.jp/sisi/tuusiHP_next/kingendai/image/09/gi.htm?pf=3105sh009-16.JPG&amp;?pn=%E9%96%8B%E9%A4%A8%E6%99%82%E3%81%AE%E4%BA%80%E5%B1%B1%E5%B8%82%E6%AD%B4%E5%8F%B2%E5%8D%9A%E7%89%A9%E9%A4%A8","開館当時の写真")</f>
        <v>開館当時の写真</v>
      </c>
      <c r="M1811" s="142"/>
      <c r="N1811" s="23" t="s">
        <v>4499</v>
      </c>
      <c r="O1811" s="23" t="s">
        <v>4500</v>
      </c>
      <c r="P1811" s="24" t="str">
        <f t="shared" si="29"/>
        <v>日本の歴史の中の亀山／現代の亀山／教育と医療・福祉／歴史博物館</v>
      </c>
      <c r="Q1811" s="25" t="str">
        <f>HYPERLINK("http:/kameyamarekihaku.jp/sisi/tuusiHP_next/tuusi-index.html#kingendai0904","市史通史編 近代・現代第9章第4節")</f>
        <v>市史通史編 近代・現代第9章第4節</v>
      </c>
      <c r="R1811" s="142" t="s">
        <v>4501</v>
      </c>
    </row>
    <row r="1812" spans="1:18" s="139" customFormat="1" ht="28.15" customHeight="1" x14ac:dyDescent="0.15">
      <c r="A1812" s="142" t="s">
        <v>4229</v>
      </c>
      <c r="B1812" s="142">
        <v>20</v>
      </c>
      <c r="C1812" s="143" t="s">
        <v>4481</v>
      </c>
      <c r="D1812" s="143">
        <v>1994</v>
      </c>
      <c r="E1812" s="144" t="s">
        <v>20</v>
      </c>
      <c r="F1812" s="143"/>
      <c r="G1812" s="143" t="s">
        <v>4502</v>
      </c>
      <c r="H1812" s="142"/>
      <c r="I1812" s="143"/>
      <c r="J1812" s="142"/>
      <c r="K1812" s="142"/>
      <c r="L1812" s="142"/>
      <c r="M1812" s="142"/>
      <c r="N1812" s="12"/>
      <c r="O1812" s="12" t="e">
        <v>#VALUE!</v>
      </c>
      <c r="P1812" s="13" t="str">
        <f t="shared" si="29"/>
        <v/>
      </c>
      <c r="Q1812" s="158"/>
      <c r="R1812" s="142" t="s">
        <v>3422</v>
      </c>
    </row>
    <row r="1813" spans="1:18" customFormat="1" ht="28.15" customHeight="1" x14ac:dyDescent="0.15">
      <c r="A1813" s="142" t="s">
        <v>4229</v>
      </c>
      <c r="B1813" s="142">
        <v>20</v>
      </c>
      <c r="C1813" s="243" t="s">
        <v>4503</v>
      </c>
      <c r="D1813" s="244">
        <v>1994</v>
      </c>
      <c r="E1813" s="144" t="s">
        <v>20</v>
      </c>
      <c r="F1813" s="245"/>
      <c r="G1813" s="120" t="s">
        <v>4504</v>
      </c>
      <c r="H1813" s="120" t="s">
        <v>1336</v>
      </c>
      <c r="I1813" s="120" t="s">
        <v>4505</v>
      </c>
      <c r="J1813" s="247"/>
      <c r="K1813" s="247"/>
      <c r="L1813" s="248"/>
      <c r="M1813" s="248"/>
      <c r="N1813" s="12"/>
      <c r="O1813" s="12" t="e">
        <v>#VALUE!</v>
      </c>
      <c r="P1813" s="13" t="str">
        <f t="shared" si="29"/>
        <v/>
      </c>
      <c r="Q1813" s="194"/>
      <c r="R1813" s="244" t="s">
        <v>4089</v>
      </c>
    </row>
    <row r="1814" spans="1:18" s="139" customFormat="1" ht="15" customHeight="1" x14ac:dyDescent="0.15">
      <c r="A1814" s="142" t="s">
        <v>4229</v>
      </c>
      <c r="B1814" s="142">
        <v>20</v>
      </c>
      <c r="C1814" s="143" t="s">
        <v>4481</v>
      </c>
      <c r="D1814" s="143">
        <v>1994</v>
      </c>
      <c r="E1814" s="144" t="s">
        <v>20</v>
      </c>
      <c r="F1814" s="143" t="s">
        <v>4506</v>
      </c>
      <c r="G1814" s="143"/>
      <c r="H1814" s="142"/>
      <c r="I1814" s="143"/>
      <c r="J1814" s="142"/>
      <c r="K1814" s="142"/>
      <c r="L1814" s="142"/>
      <c r="M1814" s="142"/>
      <c r="N1814" s="12"/>
      <c r="O1814" s="12" t="e">
        <v>#VALUE!</v>
      </c>
      <c r="P1814" s="13" t="str">
        <f t="shared" si="29"/>
        <v/>
      </c>
      <c r="Q1814" s="158"/>
      <c r="R1814" s="142"/>
    </row>
    <row r="1815" spans="1:18" s="139" customFormat="1" ht="15" customHeight="1" x14ac:dyDescent="0.15">
      <c r="A1815" s="142" t="s">
        <v>4229</v>
      </c>
      <c r="B1815" s="142">
        <v>20</v>
      </c>
      <c r="C1815" s="143" t="s">
        <v>4507</v>
      </c>
      <c r="D1815" s="143">
        <v>1995</v>
      </c>
      <c r="E1815" s="144" t="s">
        <v>20</v>
      </c>
      <c r="F1815" s="143" t="s">
        <v>4508</v>
      </c>
      <c r="G1815" s="143"/>
      <c r="H1815" s="142"/>
      <c r="I1815" s="143"/>
      <c r="J1815" s="142"/>
      <c r="K1815" s="142"/>
      <c r="L1815" s="142"/>
      <c r="M1815" s="142"/>
      <c r="N1815" s="12"/>
      <c r="O1815" s="12" t="e">
        <v>#VALUE!</v>
      </c>
      <c r="P1815" s="13" t="str">
        <f t="shared" si="29"/>
        <v/>
      </c>
      <c r="Q1815" s="158"/>
      <c r="R1815" s="142"/>
    </row>
    <row r="1816" spans="1:18" customFormat="1" ht="36" customHeight="1" x14ac:dyDescent="0.15">
      <c r="A1816" s="142" t="s">
        <v>4229</v>
      </c>
      <c r="B1816" s="142">
        <v>20</v>
      </c>
      <c r="C1816" s="143" t="s">
        <v>4507</v>
      </c>
      <c r="D1816" s="143">
        <v>1995</v>
      </c>
      <c r="E1816" s="144" t="s">
        <v>20</v>
      </c>
      <c r="F1816" s="245"/>
      <c r="G1816" s="120" t="s">
        <v>4509</v>
      </c>
      <c r="H1816" s="246" t="s">
        <v>199</v>
      </c>
      <c r="I1816" s="247"/>
      <c r="J1816" s="247"/>
      <c r="K1816" s="247"/>
      <c r="L1816" s="248"/>
      <c r="M1816" s="248"/>
      <c r="N1816" s="12" t="s">
        <v>3034</v>
      </c>
      <c r="O1816" s="12" t="s">
        <v>3035</v>
      </c>
      <c r="P1816" s="13" t="str">
        <f t="shared" si="29"/>
        <v>日本の歴史の中の亀山／現代の亀山／行政と政治／水道</v>
      </c>
      <c r="Q1816" s="194"/>
      <c r="R1816" s="248" t="s">
        <v>4089</v>
      </c>
    </row>
    <row r="1817" spans="1:18" customFormat="1" ht="15" customHeight="1" x14ac:dyDescent="0.15">
      <c r="A1817" s="142" t="s">
        <v>4229</v>
      </c>
      <c r="B1817" s="142">
        <v>20</v>
      </c>
      <c r="C1817" s="143" t="s">
        <v>4507</v>
      </c>
      <c r="D1817" s="143">
        <v>1995</v>
      </c>
      <c r="E1817" s="144" t="s">
        <v>20</v>
      </c>
      <c r="F1817" s="245"/>
      <c r="G1817" s="120" t="s">
        <v>4510</v>
      </c>
      <c r="H1817" s="246"/>
      <c r="I1817" s="247"/>
      <c r="J1817" s="247"/>
      <c r="K1817" s="247"/>
      <c r="L1817" s="248"/>
      <c r="M1817" s="248"/>
      <c r="N1817" s="12"/>
      <c r="O1817" s="12" t="e">
        <v>#VALUE!</v>
      </c>
      <c r="P1817" s="13" t="str">
        <f t="shared" si="29"/>
        <v/>
      </c>
      <c r="Q1817" s="194"/>
      <c r="R1817" s="248" t="s">
        <v>4089</v>
      </c>
    </row>
    <row r="1818" spans="1:18" customFormat="1" ht="15" customHeight="1" x14ac:dyDescent="0.15">
      <c r="A1818" s="142" t="s">
        <v>4229</v>
      </c>
      <c r="B1818" s="142">
        <v>20</v>
      </c>
      <c r="C1818" s="143" t="s">
        <v>4507</v>
      </c>
      <c r="D1818" s="143">
        <v>1995</v>
      </c>
      <c r="E1818" s="144" t="s">
        <v>34</v>
      </c>
      <c r="F1818" s="245"/>
      <c r="G1818" s="120" t="s">
        <v>4511</v>
      </c>
      <c r="H1818" s="246" t="s">
        <v>199</v>
      </c>
      <c r="I1818" s="246" t="s">
        <v>4250</v>
      </c>
      <c r="J1818" s="247"/>
      <c r="K1818" s="247"/>
      <c r="L1818" s="248"/>
      <c r="M1818" s="248"/>
      <c r="N1818" s="12"/>
      <c r="O1818" s="12" t="e">
        <v>#VALUE!</v>
      </c>
      <c r="P1818" s="13" t="str">
        <f t="shared" si="29"/>
        <v/>
      </c>
      <c r="Q1818" s="194"/>
      <c r="R1818" s="248" t="s">
        <v>4089</v>
      </c>
    </row>
    <row r="1819" spans="1:18" customFormat="1" ht="15" customHeight="1" x14ac:dyDescent="0.15">
      <c r="A1819" s="145" t="s">
        <v>4229</v>
      </c>
      <c r="B1819" s="145">
        <v>20</v>
      </c>
      <c r="C1819" s="146" t="s">
        <v>4507</v>
      </c>
      <c r="D1819" s="146">
        <v>1995</v>
      </c>
      <c r="E1819" s="147" t="s">
        <v>34</v>
      </c>
      <c r="F1819" s="249"/>
      <c r="G1819" s="88" t="s">
        <v>4512</v>
      </c>
      <c r="H1819" s="250" t="s">
        <v>199</v>
      </c>
      <c r="I1819" s="251"/>
      <c r="J1819" s="241" t="str">
        <f>HYPERLINK("http://kameyamarekihaku.jp/sisi/tuusiHP_next/kochuusei/image/10/gi.htm?pf=1305sh187.JPG&amp;?pn=%20%E7%8F%BE%E5%9C%A8%E3%81%AE%E9%96%A2%E5%AE%BF%E5%86%85%E6%96%B0%E6%89%80%EF%BC%88%E9%96%A2%E7%94%BA%E6%96%B0%E6%89%80%EF%BC%89","関宿")</f>
        <v>関宿</v>
      </c>
      <c r="K1819" s="251"/>
      <c r="L1819" s="252"/>
      <c r="M1819" s="252"/>
      <c r="N1819" s="34" t="s">
        <v>3937</v>
      </c>
      <c r="O1819" s="34" t="s">
        <v>923</v>
      </c>
      <c r="P1819" s="35" t="str">
        <f t="shared" si="29"/>
        <v>むかしの道と交通／亀山の近世の道</v>
      </c>
      <c r="Q1819" s="185"/>
      <c r="R1819" s="253" t="s">
        <v>4089</v>
      </c>
    </row>
    <row r="1820" spans="1:18" customFormat="1" ht="33" customHeight="1" x14ac:dyDescent="0.15">
      <c r="A1820" s="136"/>
      <c r="B1820" s="136"/>
      <c r="C1820" s="137"/>
      <c r="D1820" s="137"/>
      <c r="E1820" s="138"/>
      <c r="F1820" s="262"/>
      <c r="G1820" s="90"/>
      <c r="H1820" s="263"/>
      <c r="I1820" s="264"/>
      <c r="J1820" s="40"/>
      <c r="K1820" s="264"/>
      <c r="L1820" s="265"/>
      <c r="M1820" s="265"/>
      <c r="N1820" s="84" t="s">
        <v>4513</v>
      </c>
      <c r="O1820" s="84" t="s">
        <v>1251</v>
      </c>
      <c r="P1820" s="85" t="str">
        <f t="shared" si="29"/>
        <v>亀山城と宿場／４つの宿場／東海道・伊勢街道・大和街道分岐の宿場 関宿</v>
      </c>
      <c r="Q1820" s="167"/>
      <c r="R1820" s="269"/>
    </row>
    <row r="1821" spans="1:18" customFormat="1" ht="47.25" customHeight="1" x14ac:dyDescent="0.15">
      <c r="A1821" s="151"/>
      <c r="B1821" s="151"/>
      <c r="C1821" s="152"/>
      <c r="D1821" s="152"/>
      <c r="E1821" s="153"/>
      <c r="F1821" s="254"/>
      <c r="G1821" s="91"/>
      <c r="H1821" s="255"/>
      <c r="I1821" s="256"/>
      <c r="J1821" s="242"/>
      <c r="K1821" s="256"/>
      <c r="L1821" s="257"/>
      <c r="M1821" s="257"/>
      <c r="N1821" s="86" t="s">
        <v>3974</v>
      </c>
      <c r="O1821" s="86" t="s">
        <v>3941</v>
      </c>
      <c r="P1821" s="87" t="str">
        <f t="shared" si="29"/>
        <v>亀山のいいとこさがし／景色のよいところや歴史を知る手掛かりとなるもの／関宿のまちなみ</v>
      </c>
      <c r="Q1821" s="170"/>
      <c r="R1821" s="258"/>
    </row>
    <row r="1822" spans="1:18" customFormat="1" ht="42.6" customHeight="1" x14ac:dyDescent="0.15">
      <c r="A1822" s="142" t="s">
        <v>4229</v>
      </c>
      <c r="B1822" s="142">
        <v>20</v>
      </c>
      <c r="C1822" s="143" t="s">
        <v>4507</v>
      </c>
      <c r="D1822" s="143">
        <v>1995</v>
      </c>
      <c r="E1822" s="144" t="s">
        <v>34</v>
      </c>
      <c r="F1822" s="245"/>
      <c r="G1822" s="120" t="s">
        <v>4514</v>
      </c>
      <c r="H1822" s="120" t="s">
        <v>3107</v>
      </c>
      <c r="I1822" s="247"/>
      <c r="J1822" s="247"/>
      <c r="K1822" s="247"/>
      <c r="L1822" s="248"/>
      <c r="M1822" s="248"/>
      <c r="N1822" s="12"/>
      <c r="O1822" s="12" t="e">
        <v>#VALUE!</v>
      </c>
      <c r="P1822" s="13" t="str">
        <f t="shared" si="29"/>
        <v/>
      </c>
      <c r="Q1822" s="194"/>
      <c r="R1822" s="244" t="s">
        <v>4089</v>
      </c>
    </row>
    <row r="1823" spans="1:18" customFormat="1" ht="15" customHeight="1" x14ac:dyDescent="0.15">
      <c r="A1823" s="142" t="s">
        <v>4229</v>
      </c>
      <c r="B1823" s="142">
        <v>20</v>
      </c>
      <c r="C1823" s="143" t="s">
        <v>4515</v>
      </c>
      <c r="D1823" s="244">
        <v>1996</v>
      </c>
      <c r="E1823" s="144" t="s">
        <v>20</v>
      </c>
      <c r="F1823" s="245"/>
      <c r="G1823" s="120" t="s">
        <v>4516</v>
      </c>
      <c r="H1823" s="246" t="s">
        <v>3107</v>
      </c>
      <c r="I1823" s="247"/>
      <c r="J1823" s="247"/>
      <c r="K1823" s="247"/>
      <c r="L1823" s="248"/>
      <c r="M1823" s="248"/>
      <c r="N1823" s="12"/>
      <c r="O1823" s="12" t="e">
        <v>#VALUE!</v>
      </c>
      <c r="P1823" s="13" t="str">
        <f t="shared" si="29"/>
        <v/>
      </c>
      <c r="Q1823" s="194"/>
      <c r="R1823" s="248" t="s">
        <v>4089</v>
      </c>
    </row>
    <row r="1824" spans="1:18" customFormat="1" ht="28.15" customHeight="1" x14ac:dyDescent="0.15">
      <c r="A1824" s="142" t="s">
        <v>4229</v>
      </c>
      <c r="B1824" s="142">
        <v>20</v>
      </c>
      <c r="C1824" s="143" t="s">
        <v>4515</v>
      </c>
      <c r="D1824" s="244">
        <v>1996</v>
      </c>
      <c r="E1824" s="144" t="s">
        <v>34</v>
      </c>
      <c r="F1824" s="245"/>
      <c r="G1824" s="120" t="s">
        <v>4517</v>
      </c>
      <c r="H1824" s="246"/>
      <c r="I1824" s="247"/>
      <c r="J1824" s="247"/>
      <c r="K1824" s="247"/>
      <c r="L1824" s="248"/>
      <c r="M1824" s="248"/>
      <c r="N1824" s="12"/>
      <c r="O1824" s="12" t="e">
        <v>#VALUE!</v>
      </c>
      <c r="P1824" s="13" t="str">
        <f t="shared" si="29"/>
        <v/>
      </c>
      <c r="Q1824" s="194"/>
      <c r="R1824" s="244" t="s">
        <v>4089</v>
      </c>
    </row>
    <row r="1825" spans="1:18" s="139" customFormat="1" ht="29.25" customHeight="1" x14ac:dyDescent="0.15">
      <c r="A1825" s="145" t="s">
        <v>4229</v>
      </c>
      <c r="B1825" s="145">
        <v>20</v>
      </c>
      <c r="C1825" s="146" t="s">
        <v>4518</v>
      </c>
      <c r="D1825" s="146">
        <v>1997</v>
      </c>
      <c r="E1825" s="147" t="s">
        <v>20</v>
      </c>
      <c r="F1825" s="146" t="s">
        <v>4519</v>
      </c>
      <c r="G1825" s="146"/>
      <c r="H1825" s="145"/>
      <c r="I1825" s="146"/>
      <c r="J1825" s="145"/>
      <c r="K1825" s="145" t="s">
        <v>4520</v>
      </c>
      <c r="L1825" s="71" t="str">
        <f>HYPERLINK("http://kameyamarekihaku.jp/test/shosai.php?key3=02704&amp;kensaku=1","服部四郎関係資料（イナウなど）")</f>
        <v>服部四郎関係資料（イナウなど）</v>
      </c>
      <c r="M1825" s="145"/>
      <c r="N1825" s="32"/>
      <c r="O1825" s="32" t="e">
        <v>#VALUE!</v>
      </c>
      <c r="P1825" s="33" t="str">
        <f t="shared" si="29"/>
        <v/>
      </c>
      <c r="Q1825" s="337" t="str">
        <f>HYPERLINK("http://kameyamarekihaku.jp/23kikaku/info.html","企画展「－世界に冠たる亀山人－映画監督衣笠貞之助と言語学者服部四郎」")</f>
        <v>企画展「－世界に冠たる亀山人－映画監督衣笠貞之助と言語学者服部四郎」</v>
      </c>
      <c r="R1825" s="145" t="s">
        <v>4521</v>
      </c>
    </row>
    <row r="1826" spans="1:18" s="139" customFormat="1" ht="20.25" customHeight="1" x14ac:dyDescent="0.15">
      <c r="A1826" s="151"/>
      <c r="B1826" s="151"/>
      <c r="C1826" s="152"/>
      <c r="D1826" s="152"/>
      <c r="E1826" s="153"/>
      <c r="F1826" s="152"/>
      <c r="G1826" s="152"/>
      <c r="H1826" s="151"/>
      <c r="I1826" s="152"/>
      <c r="J1826" s="151"/>
      <c r="K1826" s="151"/>
      <c r="L1826" s="102" t="str">
        <f>HYPERLINK("http://kameyamarekihaku.jp/test/shosai.php?key3=02908&amp;kensaku=1","アイヌ語辞典（服部四郎文庫）")</f>
        <v>アイヌ語辞典（服部四郎文庫）</v>
      </c>
      <c r="M1826" s="151"/>
      <c r="N1826" s="29"/>
      <c r="O1826" s="29" t="e">
        <v>#VALUE!</v>
      </c>
      <c r="P1826" s="30" t="str">
        <f t="shared" si="29"/>
        <v/>
      </c>
      <c r="Q1826" s="339"/>
      <c r="R1826" s="151"/>
    </row>
    <row r="1827" spans="1:18" s="139" customFormat="1" ht="15" customHeight="1" x14ac:dyDescent="0.15">
      <c r="A1827" s="142" t="s">
        <v>4229</v>
      </c>
      <c r="B1827" s="142">
        <v>20</v>
      </c>
      <c r="C1827" s="143" t="s">
        <v>4518</v>
      </c>
      <c r="D1827" s="143">
        <v>1997</v>
      </c>
      <c r="E1827" s="144" t="s">
        <v>20</v>
      </c>
      <c r="F1827" s="143" t="s">
        <v>4522</v>
      </c>
      <c r="G1827" s="143"/>
      <c r="H1827" s="142"/>
      <c r="I1827" s="143"/>
      <c r="J1827" s="142"/>
      <c r="K1827" s="142"/>
      <c r="L1827" s="142"/>
      <c r="M1827" s="142"/>
      <c r="N1827" s="12"/>
      <c r="O1827" s="12" t="e">
        <v>#VALUE!</v>
      </c>
      <c r="P1827" s="13" t="str">
        <f t="shared" si="29"/>
        <v/>
      </c>
      <c r="Q1827" s="158"/>
      <c r="R1827" s="142"/>
    </row>
    <row r="1828" spans="1:18" customFormat="1" ht="19.5" customHeight="1" x14ac:dyDescent="0.15">
      <c r="A1828" s="145" t="s">
        <v>4229</v>
      </c>
      <c r="B1828" s="145">
        <v>20</v>
      </c>
      <c r="C1828" s="146" t="s">
        <v>4518</v>
      </c>
      <c r="D1828" s="146">
        <v>1997</v>
      </c>
      <c r="E1828" s="147" t="s">
        <v>34</v>
      </c>
      <c r="F1828" s="249"/>
      <c r="G1828" s="88" t="s">
        <v>4523</v>
      </c>
      <c r="H1828" s="88" t="s">
        <v>199</v>
      </c>
      <c r="I1828" s="88" t="s">
        <v>4087</v>
      </c>
      <c r="J1828" s="251" t="s">
        <v>4524</v>
      </c>
      <c r="K1828" s="251"/>
      <c r="L1828" s="252"/>
      <c r="M1828" s="252"/>
      <c r="N1828" s="32" t="s">
        <v>3937</v>
      </c>
      <c r="O1828" s="32" t="s">
        <v>923</v>
      </c>
      <c r="P1828" s="33" t="str">
        <f t="shared" si="29"/>
        <v>むかしの道と交通／亀山の近世の道</v>
      </c>
      <c r="Q1828" s="48" t="str">
        <f>HYPERLINK("http:/kameyamarekihaku.jp/sisi/tuusiHP_next/tuusi-index.html#kingendai0904","市史通史編 近代・現代第9章第4節")</f>
        <v>市史通史編 近代・現代第9章第4節</v>
      </c>
      <c r="R1828" s="253" t="s">
        <v>4089</v>
      </c>
    </row>
    <row r="1829" spans="1:18" customFormat="1" ht="44.25" customHeight="1" x14ac:dyDescent="0.15">
      <c r="A1829" s="136"/>
      <c r="B1829" s="136"/>
      <c r="C1829" s="137"/>
      <c r="D1829" s="137"/>
      <c r="E1829" s="138"/>
      <c r="F1829" s="262"/>
      <c r="G1829" s="90"/>
      <c r="H1829" s="90"/>
      <c r="I1829" s="90"/>
      <c r="J1829" s="264"/>
      <c r="K1829" s="264"/>
      <c r="L1829" s="265"/>
      <c r="M1829" s="265"/>
      <c r="N1829" s="19" t="s">
        <v>3974</v>
      </c>
      <c r="O1829" s="19" t="s">
        <v>3941</v>
      </c>
      <c r="P1829" s="20" t="str">
        <f t="shared" si="29"/>
        <v>亀山のいいとこさがし／景色のよいところや歴史を知る手掛かりとなるもの／関宿のまちなみ</v>
      </c>
      <c r="Q1829" s="49"/>
      <c r="R1829" s="269"/>
    </row>
    <row r="1830" spans="1:18" customFormat="1" ht="48" customHeight="1" x14ac:dyDescent="0.15">
      <c r="A1830" s="151"/>
      <c r="B1830" s="151"/>
      <c r="C1830" s="152"/>
      <c r="D1830" s="152"/>
      <c r="E1830" s="153"/>
      <c r="F1830" s="254"/>
      <c r="G1830" s="91"/>
      <c r="H1830" s="91"/>
      <c r="I1830" s="91"/>
      <c r="J1830" s="256"/>
      <c r="K1830" s="256"/>
      <c r="L1830" s="257"/>
      <c r="M1830" s="257"/>
      <c r="N1830" s="29" t="s">
        <v>4525</v>
      </c>
      <c r="O1830" s="29" t="s">
        <v>4526</v>
      </c>
      <c r="P1830" s="30" t="str">
        <f t="shared" si="29"/>
        <v>亀山のいいとこさがし／景色のよいところや歴史を知る手掛かりとなるもの／関宿のまちなみ／関宿の建物のとくちょう</v>
      </c>
      <c r="Q1830" s="46"/>
      <c r="R1830" s="258"/>
    </row>
    <row r="1831" spans="1:18" customFormat="1" ht="36.75" customHeight="1" x14ac:dyDescent="0.15">
      <c r="A1831" s="142" t="s">
        <v>4229</v>
      </c>
      <c r="B1831" s="142">
        <v>20</v>
      </c>
      <c r="C1831" s="143" t="s">
        <v>4518</v>
      </c>
      <c r="D1831" s="143">
        <v>1997</v>
      </c>
      <c r="E1831" s="144" t="s">
        <v>20</v>
      </c>
      <c r="F1831" s="245"/>
      <c r="G1831" s="120" t="s">
        <v>4527</v>
      </c>
      <c r="H1831" s="120" t="s">
        <v>199</v>
      </c>
      <c r="I1831" s="120" t="s">
        <v>415</v>
      </c>
      <c r="J1831" s="247"/>
      <c r="K1831" s="247"/>
      <c r="L1831" s="248"/>
      <c r="M1831" s="248"/>
      <c r="N1831" s="12" t="s">
        <v>4293</v>
      </c>
      <c r="O1831" s="12" t="s">
        <v>4294</v>
      </c>
      <c r="P1831" s="13" t="str">
        <f t="shared" si="29"/>
        <v>日本の歴史の中の亀山／現代の亀山／教育と医療・福祉／老人ホーム</v>
      </c>
      <c r="Q1831" s="194"/>
      <c r="R1831" s="244" t="s">
        <v>4089</v>
      </c>
    </row>
    <row r="1832" spans="1:18" s="139" customFormat="1" ht="15" customHeight="1" x14ac:dyDescent="0.15">
      <c r="A1832" s="142" t="s">
        <v>4229</v>
      </c>
      <c r="B1832" s="142">
        <v>20</v>
      </c>
      <c r="C1832" s="143" t="s">
        <v>4528</v>
      </c>
      <c r="D1832" s="143">
        <v>1998</v>
      </c>
      <c r="E1832" s="144" t="s">
        <v>20</v>
      </c>
      <c r="F1832" s="143"/>
      <c r="G1832" s="143" t="s">
        <v>4529</v>
      </c>
      <c r="H1832" s="142"/>
      <c r="I1832" s="143"/>
      <c r="J1832" s="142"/>
      <c r="K1832" s="142"/>
      <c r="L1832" s="142"/>
      <c r="M1832" s="142"/>
      <c r="N1832" s="12"/>
      <c r="O1832" s="12" t="e">
        <v>#VALUE!</v>
      </c>
      <c r="P1832" s="13" t="str">
        <f t="shared" si="29"/>
        <v/>
      </c>
      <c r="Q1832" s="158"/>
      <c r="R1832" s="142"/>
    </row>
    <row r="1833" spans="1:18" s="139" customFormat="1" ht="15" customHeight="1" x14ac:dyDescent="0.15">
      <c r="A1833" s="142" t="s">
        <v>4229</v>
      </c>
      <c r="B1833" s="142">
        <v>20</v>
      </c>
      <c r="C1833" s="143" t="s">
        <v>4528</v>
      </c>
      <c r="D1833" s="143">
        <v>1998</v>
      </c>
      <c r="E1833" s="144" t="s">
        <v>59</v>
      </c>
      <c r="F1833" s="143" t="s">
        <v>4530</v>
      </c>
      <c r="G1833" s="143"/>
      <c r="H1833" s="142"/>
      <c r="I1833" s="143"/>
      <c r="J1833" s="142"/>
      <c r="K1833" s="142"/>
      <c r="L1833" s="142"/>
      <c r="M1833" s="142"/>
      <c r="N1833" s="12"/>
      <c r="O1833" s="12" t="e">
        <v>#VALUE!</v>
      </c>
      <c r="P1833" s="13" t="str">
        <f t="shared" si="29"/>
        <v/>
      </c>
      <c r="Q1833" s="158"/>
      <c r="R1833" s="142"/>
    </row>
    <row r="1834" spans="1:18" customFormat="1" ht="61.5" customHeight="1" x14ac:dyDescent="0.15">
      <c r="A1834" s="142" t="s">
        <v>4229</v>
      </c>
      <c r="B1834" s="142">
        <v>20</v>
      </c>
      <c r="C1834" s="143" t="s">
        <v>4528</v>
      </c>
      <c r="D1834" s="143">
        <v>1998</v>
      </c>
      <c r="E1834" s="144" t="s">
        <v>20</v>
      </c>
      <c r="F1834" s="245"/>
      <c r="G1834" s="120" t="s">
        <v>4531</v>
      </c>
      <c r="H1834" s="246" t="s">
        <v>199</v>
      </c>
      <c r="I1834" s="246" t="s">
        <v>4087</v>
      </c>
      <c r="J1834" s="247" t="s">
        <v>4532</v>
      </c>
      <c r="K1834" s="247"/>
      <c r="L1834" s="248"/>
      <c r="M1834" s="248"/>
      <c r="N1834" s="23" t="s">
        <v>4533</v>
      </c>
      <c r="O1834" s="23" t="s">
        <v>4534</v>
      </c>
      <c r="P1834" s="24" t="str">
        <f t="shared" si="29"/>
        <v>亀山のいいとこさがし／景色のよいところや歴史を知る手掛かりとなるもの／関宿のまちなみ／中町のまちなみ／百六里庭</v>
      </c>
      <c r="Q1834" s="47" t="str">
        <f>HYPERLINK("http:/kameyamarekihaku.jp/sisi/tuusiHP_next/tuusi-index.html#kingendai0904","市史通史編 近代・現代第9章第4節")</f>
        <v>市史通史編 近代・現代第9章第4節</v>
      </c>
      <c r="R1834" s="248" t="s">
        <v>4089</v>
      </c>
    </row>
    <row r="1835" spans="1:18" customFormat="1" ht="30" customHeight="1" x14ac:dyDescent="0.15">
      <c r="A1835" s="142" t="s">
        <v>4229</v>
      </c>
      <c r="B1835" s="142">
        <v>20</v>
      </c>
      <c r="C1835" s="143" t="s">
        <v>4528</v>
      </c>
      <c r="D1835" s="143">
        <v>1998</v>
      </c>
      <c r="E1835" s="144" t="s">
        <v>20</v>
      </c>
      <c r="F1835" s="245"/>
      <c r="G1835" s="120" t="s">
        <v>4535</v>
      </c>
      <c r="H1835" s="246" t="s">
        <v>199</v>
      </c>
      <c r="I1835" s="246" t="s">
        <v>415</v>
      </c>
      <c r="J1835" s="22" t="str">
        <f>HYPERLINK("http:/kameyamarekihaku.jp/sisi/tuusiHP_next/kingendai/image/09/gi.htm?pf=3097sh009-08.JPG&amp;?pn=%E5%9B%BD%E7%99%BB%E9%8C%B2%E6%96%87%E5%8C%96%E8%B2%A1%E9%88%B4%E9%B9%BF%E5%B3%A0%E8%87%AA%E7%84%B6%E3%81%AE%E5%AE%B6","鈴鹿峠自然の家")</f>
        <v>鈴鹿峠自然の家</v>
      </c>
      <c r="K1835" s="247"/>
      <c r="L1835" s="248"/>
      <c r="M1835" s="274" t="str">
        <f>HYPERLINK("http:/kameyamarekihaku.jp/sisi/tuusiHP_next/kingendai/image/09/gi.htm?pf=3097sh009-08.JPG&amp;?pn=%E5%9B%BD%E7%99%BB%E9%8C%B2%E6%96%87%E5%8C%96%E8%B2%A1%E9%88%B4%E9%B9%BF%E5%B3%A0%E8%87%AA%E7%84%B6%E3%81%AE%E5%AE%B6","鈴鹿峠自然の家")</f>
        <v>鈴鹿峠自然の家</v>
      </c>
      <c r="N1835" s="23"/>
      <c r="O1835" s="23" t="e">
        <v>#VALUE!</v>
      </c>
      <c r="P1835" s="24" t="str">
        <f t="shared" si="29"/>
        <v/>
      </c>
      <c r="Q1835" s="47" t="str">
        <f>HYPERLINK("http:/kameyamarekihaku.jp/sisi/tuusiHP_next/tuusi-index.html#kingendai0904","市史通史編 近代・現代第9章第4節")</f>
        <v>市史通史編 近代・現代第9章第4節</v>
      </c>
      <c r="R1835" s="246" t="s">
        <v>4221</v>
      </c>
    </row>
    <row r="1836" spans="1:18" customFormat="1" ht="15" customHeight="1" x14ac:dyDescent="0.15">
      <c r="A1836" s="142" t="s">
        <v>4229</v>
      </c>
      <c r="B1836" s="142">
        <v>20</v>
      </c>
      <c r="C1836" s="143" t="s">
        <v>4528</v>
      </c>
      <c r="D1836" s="143">
        <v>1998</v>
      </c>
      <c r="E1836" s="144" t="s">
        <v>20</v>
      </c>
      <c r="F1836" s="245"/>
      <c r="G1836" s="120" t="s">
        <v>4536</v>
      </c>
      <c r="H1836" s="246" t="s">
        <v>1336</v>
      </c>
      <c r="I1836" s="246" t="s">
        <v>2393</v>
      </c>
      <c r="J1836" s="247" t="s">
        <v>4537</v>
      </c>
      <c r="K1836" s="247"/>
      <c r="L1836" s="248"/>
      <c r="M1836" s="248"/>
      <c r="N1836" s="12"/>
      <c r="O1836" s="12" t="e">
        <v>#VALUE!</v>
      </c>
      <c r="P1836" s="13" t="str">
        <f t="shared" si="29"/>
        <v/>
      </c>
      <c r="Q1836" s="194"/>
      <c r="R1836" s="248" t="s">
        <v>4089</v>
      </c>
    </row>
    <row r="1837" spans="1:18" customFormat="1" ht="35.25" customHeight="1" x14ac:dyDescent="0.15">
      <c r="A1837" s="145" t="s">
        <v>4229</v>
      </c>
      <c r="B1837" s="145">
        <v>20</v>
      </c>
      <c r="C1837" s="146" t="s">
        <v>4528</v>
      </c>
      <c r="D1837" s="146">
        <v>1998</v>
      </c>
      <c r="E1837" s="147" t="s">
        <v>20</v>
      </c>
      <c r="F1837" s="249"/>
      <c r="G1837" s="88" t="s">
        <v>4538</v>
      </c>
      <c r="H1837" s="250"/>
      <c r="I1837" s="251"/>
      <c r="J1837" s="251"/>
      <c r="K1837" s="251"/>
      <c r="L1837" s="252"/>
      <c r="M1837" s="252"/>
      <c r="N1837" s="34" t="s">
        <v>4358</v>
      </c>
      <c r="O1837" s="34" t="s">
        <v>4359</v>
      </c>
      <c r="P1837" s="35" t="str">
        <f t="shared" si="29"/>
        <v>日本の歴史の中の亀山／現代の亀山／行政と政治／下水道</v>
      </c>
      <c r="Q1837" s="185"/>
      <c r="R1837" s="253" t="s">
        <v>4089</v>
      </c>
    </row>
    <row r="1838" spans="1:18" customFormat="1" ht="35.25" customHeight="1" x14ac:dyDescent="0.15">
      <c r="A1838" s="151"/>
      <c r="B1838" s="151"/>
      <c r="C1838" s="152"/>
      <c r="D1838" s="152"/>
      <c r="E1838" s="153"/>
      <c r="F1838" s="254"/>
      <c r="G1838" s="91"/>
      <c r="H1838" s="255"/>
      <c r="I1838" s="256"/>
      <c r="J1838" s="256"/>
      <c r="K1838" s="256"/>
      <c r="L1838" s="257"/>
      <c r="M1838" s="257"/>
      <c r="N1838" s="86" t="s">
        <v>4539</v>
      </c>
      <c r="O1838" s="86" t="s">
        <v>4362</v>
      </c>
      <c r="P1838" s="87" t="str">
        <f t="shared" si="29"/>
        <v>日本の歴史の中の亀山／現代の亀山／行政と政治／し尿処理場</v>
      </c>
      <c r="Q1838" s="170"/>
      <c r="R1838" s="258"/>
    </row>
    <row r="1839" spans="1:18" customFormat="1" ht="42.6" customHeight="1" x14ac:dyDescent="0.15">
      <c r="A1839" s="142" t="s">
        <v>4229</v>
      </c>
      <c r="B1839" s="142">
        <v>20</v>
      </c>
      <c r="C1839" s="143" t="s">
        <v>4528</v>
      </c>
      <c r="D1839" s="143">
        <v>1998</v>
      </c>
      <c r="E1839" s="144" t="s">
        <v>34</v>
      </c>
      <c r="F1839" s="245"/>
      <c r="G1839" s="120" t="s">
        <v>4540</v>
      </c>
      <c r="H1839" s="246"/>
      <c r="I1839" s="247"/>
      <c r="J1839" s="247"/>
      <c r="K1839" s="247"/>
      <c r="L1839" s="248"/>
      <c r="M1839" s="248"/>
      <c r="N1839" s="12" t="s">
        <v>4541</v>
      </c>
      <c r="O1839" s="12" t="s">
        <v>418</v>
      </c>
      <c r="P1839" s="13" t="str">
        <f t="shared" si="29"/>
        <v>古典に出てくる亀山／旅／斎王の行列</v>
      </c>
      <c r="Q1839" s="194"/>
      <c r="R1839" s="244" t="s">
        <v>4089</v>
      </c>
    </row>
    <row r="1840" spans="1:18" customFormat="1" ht="15" customHeight="1" x14ac:dyDescent="0.15">
      <c r="A1840" s="145" t="s">
        <v>4229</v>
      </c>
      <c r="B1840" s="145">
        <v>20</v>
      </c>
      <c r="C1840" s="146" t="s">
        <v>4528</v>
      </c>
      <c r="D1840" s="146">
        <v>1998</v>
      </c>
      <c r="E1840" s="147" t="s">
        <v>34</v>
      </c>
      <c r="F1840" s="249"/>
      <c r="G1840" s="88" t="s">
        <v>4542</v>
      </c>
      <c r="H1840" s="250" t="s">
        <v>199</v>
      </c>
      <c r="I1840" s="251" t="s">
        <v>347</v>
      </c>
      <c r="J1840" s="241" t="str">
        <f>HYPERLINK("http://kameyamarekihaku.jp/sisi/tuusiHP_next/kochuusei/image/10/gi.htm?pf=1310sh192.JPG&amp;?pn=%20%E5%9C%B0%E8%94%B5%E9%99%A2%EF%BC%88%E9%96%A2%E7%94%BA%E6%96%B0%E6%89%80%EF%BC%89","関地蔵院")</f>
        <v>関地蔵院</v>
      </c>
      <c r="K1840" s="251"/>
      <c r="L1840" s="252"/>
      <c r="M1840" s="252"/>
      <c r="N1840" s="34" t="s">
        <v>4543</v>
      </c>
      <c r="O1840" s="34" t="s">
        <v>774</v>
      </c>
      <c r="P1840" s="35" t="str">
        <f t="shared" si="29"/>
        <v>亀山のいいとこさがし／建物</v>
      </c>
      <c r="Q1840" s="185"/>
      <c r="R1840" s="252" t="s">
        <v>4089</v>
      </c>
    </row>
    <row r="1841" spans="1:18" customFormat="1" ht="63" customHeight="1" x14ac:dyDescent="0.15">
      <c r="A1841" s="151"/>
      <c r="B1841" s="151"/>
      <c r="C1841" s="152"/>
      <c r="D1841" s="152"/>
      <c r="E1841" s="153"/>
      <c r="F1841" s="254"/>
      <c r="G1841" s="91"/>
      <c r="H1841" s="255"/>
      <c r="I1841" s="256"/>
      <c r="J1841" s="242"/>
      <c r="K1841" s="256"/>
      <c r="L1841" s="257"/>
      <c r="M1841" s="257"/>
      <c r="N1841" s="86" t="s">
        <v>4219</v>
      </c>
      <c r="O1841" s="86" t="s">
        <v>776</v>
      </c>
      <c r="P1841" s="87" t="str">
        <f t="shared" si="29"/>
        <v>亀山のいいとこさがし／景色のよいところや歴史を知る手掛かりとなるもの／関宿のまちなみ／新所のまちなみ／地蔵院本堂・鐘楼・愛染堂</v>
      </c>
      <c r="Q1841" s="170"/>
      <c r="R1841" s="257"/>
    </row>
    <row r="1842" spans="1:18" s="6" customFormat="1" ht="28.15" customHeight="1" x14ac:dyDescent="0.15">
      <c r="A1842" s="142" t="s">
        <v>4229</v>
      </c>
      <c r="B1842" s="120">
        <v>20</v>
      </c>
      <c r="C1842" s="175" t="s">
        <v>4544</v>
      </c>
      <c r="D1842" s="175">
        <v>1999</v>
      </c>
      <c r="E1842" s="144" t="s">
        <v>34</v>
      </c>
      <c r="F1842" s="175"/>
      <c r="G1842" s="175" t="s">
        <v>4545</v>
      </c>
      <c r="H1842" s="120" t="s">
        <v>2512</v>
      </c>
      <c r="I1842" s="175" t="s">
        <v>4546</v>
      </c>
      <c r="J1842" s="22" t="str">
        <f>HYPERLINK("http://kameyamarekihaku.jp/sisi/tuusiHP_next/kinsei/image/01/gi.htm?pf=2058sh042.JPG&amp;?pn=%E9%81%8D%E7%85%A7%E5%AF%BA%E6%9C%AC%E5%A0%82%EF%BC%88%E8%A5%BF%E7%94%BA%EF%BC%89","遍照寺")</f>
        <v>遍照寺</v>
      </c>
      <c r="K1842" s="120"/>
      <c r="L1842" s="120"/>
      <c r="M1842" s="18"/>
      <c r="N1842" s="29" t="s">
        <v>4547</v>
      </c>
      <c r="O1842" s="29" t="s">
        <v>399</v>
      </c>
      <c r="P1842" s="30" t="str">
        <f t="shared" si="29"/>
        <v>亀山のいいとこさがし／仏像</v>
      </c>
      <c r="Q1842" s="10" t="str">
        <f>HYPERLINK("http:/kameyamarekihaku.jp/sisi/tuusiHP_next/tuusi-index.html#kingendai0904","市史通史編 近代・現代第9章第4節")</f>
        <v>市史通史編 近代・現代第9章第4節</v>
      </c>
      <c r="R1842" s="120" t="s">
        <v>4548</v>
      </c>
    </row>
    <row r="1843" spans="1:18" s="6" customFormat="1" ht="28.5" customHeight="1" x14ac:dyDescent="0.15">
      <c r="A1843" s="142" t="s">
        <v>4229</v>
      </c>
      <c r="B1843" s="120">
        <v>20</v>
      </c>
      <c r="C1843" s="175" t="s">
        <v>4544</v>
      </c>
      <c r="D1843" s="175">
        <v>1999</v>
      </c>
      <c r="E1843" s="144" t="s">
        <v>34</v>
      </c>
      <c r="F1843" s="175"/>
      <c r="G1843" s="175" t="s">
        <v>4549</v>
      </c>
      <c r="H1843" s="120" t="s">
        <v>199</v>
      </c>
      <c r="I1843" s="175" t="s">
        <v>4550</v>
      </c>
      <c r="J1843" s="22" t="str">
        <f>HYPERLINK("http:/kameyamarekihaku.jp/sisi/tuusiHP_next/kingendai/image/09/gi.htm?pf=3097sh009-08.JPG&amp;?pn=%E5%9B%BD%E7%99%BB%E9%8C%B2%E6%96%87%E5%8C%96%E8%B2%A1%E9%88%B4%E9%B9%BF%E5%B3%A0%E8%87%AA%E7%84%B6%E3%81%AE%E5%AE%B6","鈴鹿峠自然の家")</f>
        <v>鈴鹿峠自然の家</v>
      </c>
      <c r="K1843" s="120"/>
      <c r="L1843" s="120"/>
      <c r="M1843" s="22" t="str">
        <f>HYPERLINK("http:/kameyamarekihaku.jp/sisi/tuusiHP_next/kingendai/image/09/gi.htm?pf=3097sh009-08.JPG&amp;?pn=%E5%9B%BD%E7%99%BB%E9%8C%B2%E6%96%87%E5%8C%96%E8%B2%A1%E9%88%B4%E9%B9%BF%E5%B3%A0%E8%87%AA%E7%84%B6%E3%81%AE%E5%AE%B6","鈴鹿峠自然の家")</f>
        <v>鈴鹿峠自然の家</v>
      </c>
      <c r="N1843" s="23"/>
      <c r="O1843" s="23" t="e">
        <v>#VALUE!</v>
      </c>
      <c r="P1843" s="24" t="str">
        <f t="shared" si="29"/>
        <v/>
      </c>
      <c r="Q1843" s="47" t="str">
        <f>HYPERLINK("http:/kameyamarekihaku.jp/sisi/tuusiHP_next/tuusi-index.html#kingendai0904","市史通史編 近代・現代第9章第4節")</f>
        <v>市史通史編 近代・現代第9章第4節</v>
      </c>
      <c r="R1843" s="120" t="s">
        <v>2227</v>
      </c>
    </row>
    <row r="1844" spans="1:18" customFormat="1" ht="15.75" customHeight="1" x14ac:dyDescent="0.15">
      <c r="A1844" s="142" t="s">
        <v>4229</v>
      </c>
      <c r="B1844" s="120">
        <v>20</v>
      </c>
      <c r="C1844" s="175" t="s">
        <v>4544</v>
      </c>
      <c r="D1844" s="175">
        <v>1999</v>
      </c>
      <c r="E1844" s="144" t="s">
        <v>20</v>
      </c>
      <c r="F1844" s="245"/>
      <c r="G1844" s="120" t="s">
        <v>4551</v>
      </c>
      <c r="H1844" s="246" t="s">
        <v>199</v>
      </c>
      <c r="I1844" s="247" t="s">
        <v>1443</v>
      </c>
      <c r="J1844" s="247" t="s">
        <v>4552</v>
      </c>
      <c r="K1844" s="247"/>
      <c r="L1844" s="248"/>
      <c r="M1844" s="248"/>
      <c r="N1844" s="12"/>
      <c r="O1844" s="12" t="e">
        <v>#VALUE!</v>
      </c>
      <c r="P1844" s="13" t="str">
        <f t="shared" si="29"/>
        <v/>
      </c>
      <c r="Q1844" s="194"/>
      <c r="R1844" s="248" t="s">
        <v>4089</v>
      </c>
    </row>
    <row r="1845" spans="1:18" customFormat="1" ht="15.75" customHeight="1" x14ac:dyDescent="0.15">
      <c r="A1845" s="142" t="s">
        <v>4229</v>
      </c>
      <c r="B1845" s="120">
        <v>20</v>
      </c>
      <c r="C1845" s="175" t="s">
        <v>4544</v>
      </c>
      <c r="D1845" s="175">
        <v>1999</v>
      </c>
      <c r="E1845" s="144" t="s">
        <v>20</v>
      </c>
      <c r="F1845" s="245"/>
      <c r="G1845" s="120" t="s">
        <v>4553</v>
      </c>
      <c r="H1845" s="246"/>
      <c r="I1845" s="247"/>
      <c r="J1845" s="247"/>
      <c r="K1845" s="247"/>
      <c r="L1845" s="248"/>
      <c r="M1845" s="248"/>
      <c r="N1845" s="12"/>
      <c r="O1845" s="12" t="e">
        <v>#VALUE!</v>
      </c>
      <c r="P1845" s="13" t="str">
        <f t="shared" si="29"/>
        <v/>
      </c>
      <c r="Q1845" s="194"/>
      <c r="R1845" s="248" t="s">
        <v>4089</v>
      </c>
    </row>
    <row r="1846" spans="1:18" customFormat="1" ht="15.75" customHeight="1" x14ac:dyDescent="0.15">
      <c r="A1846" s="142" t="s">
        <v>4229</v>
      </c>
      <c r="B1846" s="120">
        <v>20</v>
      </c>
      <c r="C1846" s="175" t="s">
        <v>4544</v>
      </c>
      <c r="D1846" s="175">
        <v>1999</v>
      </c>
      <c r="E1846" s="144" t="s">
        <v>20</v>
      </c>
      <c r="F1846" s="245"/>
      <c r="G1846" s="120" t="s">
        <v>4554</v>
      </c>
      <c r="H1846" s="246"/>
      <c r="I1846" s="247"/>
      <c r="J1846" s="247"/>
      <c r="K1846" s="247"/>
      <c r="L1846" s="248"/>
      <c r="M1846" s="248"/>
      <c r="N1846" s="12" t="s">
        <v>3677</v>
      </c>
      <c r="O1846" s="12" t="s">
        <v>2599</v>
      </c>
      <c r="P1846" s="13" t="str">
        <f t="shared" si="29"/>
        <v>亀山市の名誉市民／旧亀山市の名誉市民</v>
      </c>
      <c r="Q1846" s="194"/>
      <c r="R1846" s="248"/>
    </row>
    <row r="1847" spans="1:18" customFormat="1" ht="15.75" customHeight="1" x14ac:dyDescent="0.15">
      <c r="A1847" s="142" t="s">
        <v>4229</v>
      </c>
      <c r="B1847" s="120">
        <v>20</v>
      </c>
      <c r="C1847" s="175" t="s">
        <v>4544</v>
      </c>
      <c r="D1847" s="175">
        <v>1999</v>
      </c>
      <c r="E1847" s="144" t="s">
        <v>20</v>
      </c>
      <c r="F1847" s="245"/>
      <c r="G1847" s="120" t="s">
        <v>4555</v>
      </c>
      <c r="H1847" s="246" t="s">
        <v>199</v>
      </c>
      <c r="I1847" s="246" t="s">
        <v>4250</v>
      </c>
      <c r="J1847" s="247"/>
      <c r="K1847" s="247"/>
      <c r="L1847" s="248"/>
      <c r="M1847" s="248"/>
      <c r="N1847" s="12"/>
      <c r="O1847" s="12" t="e">
        <v>#VALUE!</v>
      </c>
      <c r="P1847" s="13" t="str">
        <f t="shared" si="29"/>
        <v/>
      </c>
      <c r="Q1847" s="194"/>
      <c r="R1847" s="248" t="s">
        <v>4089</v>
      </c>
    </row>
    <row r="1848" spans="1:18" s="139" customFormat="1" ht="15" customHeight="1" x14ac:dyDescent="0.15">
      <c r="A1848" s="142" t="s">
        <v>4229</v>
      </c>
      <c r="B1848" s="142">
        <v>20</v>
      </c>
      <c r="C1848" s="143" t="s">
        <v>4556</v>
      </c>
      <c r="D1848" s="143">
        <v>2000</v>
      </c>
      <c r="E1848" s="144" t="s">
        <v>20</v>
      </c>
      <c r="F1848" s="143"/>
      <c r="G1848" s="143" t="s">
        <v>4557</v>
      </c>
      <c r="H1848" s="142" t="s">
        <v>54</v>
      </c>
      <c r="I1848" s="143" t="s">
        <v>3731</v>
      </c>
      <c r="J1848" s="142" t="s">
        <v>4558</v>
      </c>
      <c r="K1848" s="142"/>
      <c r="L1848" s="142"/>
      <c r="M1848" s="142"/>
      <c r="N1848" s="12"/>
      <c r="O1848" s="12" t="e">
        <v>#VALUE!</v>
      </c>
      <c r="P1848" s="13" t="str">
        <f t="shared" si="29"/>
        <v/>
      </c>
      <c r="Q1848" s="158"/>
      <c r="R1848" s="142"/>
    </row>
    <row r="1849" spans="1:18" customFormat="1" ht="28.15" customHeight="1" x14ac:dyDescent="0.15">
      <c r="A1849" s="142" t="s">
        <v>4229</v>
      </c>
      <c r="B1849" s="142">
        <v>20</v>
      </c>
      <c r="C1849" s="143" t="s">
        <v>4556</v>
      </c>
      <c r="D1849" s="143">
        <v>2000</v>
      </c>
      <c r="E1849" s="144" t="s">
        <v>20</v>
      </c>
      <c r="F1849" s="245"/>
      <c r="G1849" s="120" t="s">
        <v>4559</v>
      </c>
      <c r="H1849" s="120" t="s">
        <v>199</v>
      </c>
      <c r="I1849" s="120" t="s">
        <v>4560</v>
      </c>
      <c r="J1849" s="247"/>
      <c r="K1849" s="247"/>
      <c r="L1849" s="248"/>
      <c r="M1849" s="248"/>
      <c r="N1849" s="12"/>
      <c r="O1849" s="12" t="e">
        <v>#VALUE!</v>
      </c>
      <c r="P1849" s="13" t="str">
        <f t="shared" si="29"/>
        <v/>
      </c>
      <c r="Q1849" s="194"/>
      <c r="R1849" s="244" t="s">
        <v>4089</v>
      </c>
    </row>
    <row r="1850" spans="1:18" customFormat="1" ht="18.75" customHeight="1" x14ac:dyDescent="0.15">
      <c r="A1850" s="145" t="s">
        <v>4229</v>
      </c>
      <c r="B1850" s="145">
        <v>20</v>
      </c>
      <c r="C1850" s="146" t="s">
        <v>4556</v>
      </c>
      <c r="D1850" s="146">
        <v>2000</v>
      </c>
      <c r="E1850" s="147" t="s">
        <v>20</v>
      </c>
      <c r="F1850" s="249"/>
      <c r="G1850" s="88" t="s">
        <v>4561</v>
      </c>
      <c r="H1850" s="250" t="s">
        <v>199</v>
      </c>
      <c r="I1850" s="250" t="s">
        <v>347</v>
      </c>
      <c r="J1850" s="251" t="s">
        <v>4562</v>
      </c>
      <c r="K1850" s="251"/>
      <c r="L1850" s="252"/>
      <c r="M1850" s="252"/>
      <c r="N1850" s="34" t="s">
        <v>922</v>
      </c>
      <c r="O1850" s="34" t="s">
        <v>923</v>
      </c>
      <c r="P1850" s="35" t="str">
        <f t="shared" si="29"/>
        <v>むかしの道と交通／亀山の近世の道</v>
      </c>
      <c r="Q1850" s="185"/>
      <c r="R1850" s="252" t="s">
        <v>4089</v>
      </c>
    </row>
    <row r="1851" spans="1:18" customFormat="1" ht="48.75" customHeight="1" x14ac:dyDescent="0.15">
      <c r="A1851" s="151"/>
      <c r="B1851" s="151"/>
      <c r="C1851" s="152"/>
      <c r="D1851" s="152"/>
      <c r="E1851" s="153"/>
      <c r="F1851" s="254"/>
      <c r="G1851" s="91"/>
      <c r="H1851" s="255"/>
      <c r="I1851" s="255"/>
      <c r="J1851" s="256"/>
      <c r="K1851" s="256"/>
      <c r="L1851" s="257"/>
      <c r="M1851" s="257"/>
      <c r="N1851" s="86" t="s">
        <v>3974</v>
      </c>
      <c r="O1851" s="86" t="s">
        <v>3941</v>
      </c>
      <c r="P1851" s="87" t="str">
        <f t="shared" si="29"/>
        <v>亀山のいいとこさがし／景色のよいところや歴史を知る手掛かりとなるもの／関宿のまちなみ</v>
      </c>
      <c r="Q1851" s="170"/>
      <c r="R1851" s="257"/>
    </row>
    <row r="1852" spans="1:18" s="139" customFormat="1" ht="31.5" customHeight="1" x14ac:dyDescent="0.15">
      <c r="A1852" s="142" t="s">
        <v>4229</v>
      </c>
      <c r="B1852" s="142">
        <v>21</v>
      </c>
      <c r="C1852" s="143" t="s">
        <v>4563</v>
      </c>
      <c r="D1852" s="143">
        <v>2001</v>
      </c>
      <c r="E1852" s="144" t="s">
        <v>20</v>
      </c>
      <c r="F1852" s="143"/>
      <c r="G1852" s="143" t="s">
        <v>4564</v>
      </c>
      <c r="H1852" s="142" t="s">
        <v>464</v>
      </c>
      <c r="I1852" s="143" t="s">
        <v>601</v>
      </c>
      <c r="J1852" s="142" t="s">
        <v>4565</v>
      </c>
      <c r="K1852" s="142"/>
      <c r="L1852" s="142"/>
      <c r="M1852" s="142"/>
      <c r="N1852" s="12"/>
      <c r="O1852" s="12" t="e">
        <v>#VALUE!</v>
      </c>
      <c r="P1852" s="13" t="str">
        <f t="shared" si="29"/>
        <v/>
      </c>
      <c r="Q1852" s="158"/>
      <c r="R1852" s="142"/>
    </row>
    <row r="1853" spans="1:18" s="139" customFormat="1" ht="23.25" customHeight="1" x14ac:dyDescent="0.15">
      <c r="A1853" s="145" t="s">
        <v>4229</v>
      </c>
      <c r="B1853" s="145">
        <v>21</v>
      </c>
      <c r="C1853" s="146" t="s">
        <v>4563</v>
      </c>
      <c r="D1853" s="146">
        <v>2001</v>
      </c>
      <c r="E1853" s="147" t="s">
        <v>34</v>
      </c>
      <c r="F1853" s="146"/>
      <c r="G1853" s="345" t="s">
        <v>4566</v>
      </c>
      <c r="H1853" s="145" t="s">
        <v>464</v>
      </c>
      <c r="I1853" s="146" t="s">
        <v>1157</v>
      </c>
      <c r="J1853" s="16" t="str">
        <f>HYPERLINK("http://kameyamarekihaku.jp/sisi/koukoHP/archives/kamejyougennjyo/01/01-06/gi.html?pf=KJGNJY0106-06-002.jpg&amp;pn=%E5%A4%9A%E9%96%80%E6%AB%93%E3%81%A8%E6%9C%AC%E4%B8%B8%E6%9D%B1%E5%8D%97%E9%9A%85%E7%9F%B3%E5%9E%A3","多門櫓")</f>
        <v>多門櫓</v>
      </c>
      <c r="K1853" s="145"/>
      <c r="L1853" s="145"/>
      <c r="M1853" s="145"/>
      <c r="N1853" s="34" t="s">
        <v>4567</v>
      </c>
      <c r="O1853" s="34" t="s">
        <v>923</v>
      </c>
      <c r="P1853" s="35" t="str">
        <f t="shared" si="29"/>
        <v>むかしの道と交通／亀山の近世の道</v>
      </c>
      <c r="Q1853" s="160"/>
      <c r="R1853" s="145"/>
    </row>
    <row r="1854" spans="1:18" s="139" customFormat="1" ht="24" customHeight="1" x14ac:dyDescent="0.15">
      <c r="A1854" s="151"/>
      <c r="B1854" s="151"/>
      <c r="C1854" s="152"/>
      <c r="D1854" s="152"/>
      <c r="E1854" s="153"/>
      <c r="F1854" s="152"/>
      <c r="G1854" s="353"/>
      <c r="H1854" s="151"/>
      <c r="I1854" s="152"/>
      <c r="J1854" s="18"/>
      <c r="K1854" s="151"/>
      <c r="L1854" s="151"/>
      <c r="M1854" s="151"/>
      <c r="N1854" s="86" t="s">
        <v>4568</v>
      </c>
      <c r="O1854" s="86" t="s">
        <v>774</v>
      </c>
      <c r="P1854" s="87" t="str">
        <f t="shared" si="29"/>
        <v>亀山のいいとこさがし／建物</v>
      </c>
      <c r="Q1854" s="157"/>
      <c r="R1854" s="151"/>
    </row>
    <row r="1855" spans="1:18" customFormat="1" ht="20.25" customHeight="1" x14ac:dyDescent="0.15">
      <c r="A1855" s="145" t="s">
        <v>4229</v>
      </c>
      <c r="B1855" s="145">
        <v>21</v>
      </c>
      <c r="C1855" s="146" t="s">
        <v>4563</v>
      </c>
      <c r="D1855" s="146">
        <v>2001</v>
      </c>
      <c r="E1855" s="147" t="s">
        <v>20</v>
      </c>
      <c r="F1855" s="249"/>
      <c r="G1855" s="88" t="s">
        <v>4569</v>
      </c>
      <c r="H1855" s="88" t="s">
        <v>199</v>
      </c>
      <c r="I1855" s="251" t="s">
        <v>4570</v>
      </c>
      <c r="J1855" s="16" t="str">
        <f>HYPERLINK("http://kameyamarekihaku.jp/sisi/tuusiHP_next/kochuusei/image/10/gi.htm?pf=1305sh187.JPG&amp;?pn=%E5%86%99%E7%9C%9F187%20%E7%8F%BE%E5%9C%A8%E3%81%AE%E9%96%A2%E5%AE%BF%E5%86%85%E6%96%B0%E6%89%80%EF%BC%88%E9%96%A2%E7%94%BA%E6%96%B0%E6%89%80%EF%BC%89","関宿")</f>
        <v>関宿</v>
      </c>
      <c r="K1855" s="251"/>
      <c r="L1855" s="252"/>
      <c r="M1855" s="252"/>
      <c r="N1855" s="259" t="s">
        <v>922</v>
      </c>
      <c r="O1855" s="260" t="s">
        <v>923</v>
      </c>
      <c r="P1855" s="261" t="str">
        <f t="shared" si="29"/>
        <v>むかしの道と交通／亀山の近世の道</v>
      </c>
      <c r="Q1855" s="241" t="str">
        <f>HYPERLINK("http://kameyamarekihaku.jp/sisi/tuusiHP_next/kingendai/image/09/gi.htm?pf=3112sh009-21.JPG&amp;?pn=%E4%BF%AE%E7%90%86%E4%BF%AE%E6%99%AF%E8%A6%B3%E4%BA%8B%E6%A5%AD%E5%BE%8C%E3%81%AE%E9%96%A2%E5%AE%BF%E3%81%AE%E7%94%BA%E4%B8%A6","画像史料：修理修景観事業後の関宿の町並（中町：平成１６年）")</f>
        <v>画像史料：修理修景観事業後の関宿の町並（中町：平成１６年）</v>
      </c>
      <c r="R1855" s="253" t="s">
        <v>4089</v>
      </c>
    </row>
    <row r="1856" spans="1:18" customFormat="1" ht="32.25" customHeight="1" x14ac:dyDescent="0.15">
      <c r="A1856" s="136"/>
      <c r="B1856" s="136"/>
      <c r="C1856" s="137"/>
      <c r="D1856" s="137"/>
      <c r="E1856" s="138"/>
      <c r="F1856" s="262"/>
      <c r="G1856" s="90"/>
      <c r="H1856" s="90"/>
      <c r="I1856" s="264"/>
      <c r="J1856" s="27"/>
      <c r="K1856" s="264"/>
      <c r="L1856" s="265"/>
      <c r="M1856" s="265"/>
      <c r="N1856" s="19" t="s">
        <v>4571</v>
      </c>
      <c r="O1856" s="19" t="s">
        <v>1251</v>
      </c>
      <c r="P1856" s="20" t="str">
        <f t="shared" si="29"/>
        <v>亀山城と宿場／４つの宿場／東海道・伊勢街道・大和街道分岐の宿場 関宿</v>
      </c>
      <c r="Q1856" s="21" t="str">
        <f>HYPERLINK("http:/kameyamarekihaku.jp/sisi/tuusiHP_next/tuusi-index.html#kingendai0904","市史通史編 近代・現代第9章第4節")</f>
        <v>市史通史編 近代・現代第9章第4節</v>
      </c>
      <c r="R1856" s="269"/>
    </row>
    <row r="1857" spans="1:18" customFormat="1" ht="44.25" customHeight="1" x14ac:dyDescent="0.15">
      <c r="A1857" s="151"/>
      <c r="B1857" s="151"/>
      <c r="C1857" s="152"/>
      <c r="D1857" s="152"/>
      <c r="E1857" s="153"/>
      <c r="F1857" s="254"/>
      <c r="G1857" s="91"/>
      <c r="H1857" s="91"/>
      <c r="I1857" s="256"/>
      <c r="J1857" s="18"/>
      <c r="K1857" s="256"/>
      <c r="L1857" s="257"/>
      <c r="M1857" s="257"/>
      <c r="N1857" s="29" t="s">
        <v>3974</v>
      </c>
      <c r="O1857" s="29" t="s">
        <v>3941</v>
      </c>
      <c r="P1857" s="30" t="str">
        <f t="shared" si="29"/>
        <v>亀山のいいとこさがし／景色のよいところや歴史を知る手掛かりとなるもの／関宿のまちなみ</v>
      </c>
      <c r="Q1857" s="10"/>
      <c r="R1857" s="258"/>
    </row>
    <row r="1858" spans="1:18" customFormat="1" ht="15.75" customHeight="1" x14ac:dyDescent="0.15">
      <c r="A1858" s="142" t="s">
        <v>4229</v>
      </c>
      <c r="B1858" s="142">
        <v>21</v>
      </c>
      <c r="C1858" s="143" t="s">
        <v>4563</v>
      </c>
      <c r="D1858" s="143">
        <v>2001</v>
      </c>
      <c r="E1858" s="144" t="s">
        <v>20</v>
      </c>
      <c r="F1858" s="245"/>
      <c r="G1858" s="120" t="s">
        <v>4572</v>
      </c>
      <c r="H1858" s="246" t="s">
        <v>1336</v>
      </c>
      <c r="I1858" s="246" t="s">
        <v>787</v>
      </c>
      <c r="J1858" s="247"/>
      <c r="K1858" s="247"/>
      <c r="L1858" s="248"/>
      <c r="M1858" s="248"/>
      <c r="N1858" s="12"/>
      <c r="O1858" s="12" t="e">
        <v>#VALUE!</v>
      </c>
      <c r="P1858" s="13" t="str">
        <f t="shared" si="29"/>
        <v/>
      </c>
      <c r="Q1858" s="194"/>
      <c r="R1858" s="244" t="s">
        <v>4089</v>
      </c>
    </row>
    <row r="1859" spans="1:18" customFormat="1" ht="20.25" customHeight="1" x14ac:dyDescent="0.15">
      <c r="A1859" s="145" t="s">
        <v>4229</v>
      </c>
      <c r="B1859" s="145">
        <v>21</v>
      </c>
      <c r="C1859" s="146" t="s">
        <v>4563</v>
      </c>
      <c r="D1859" s="146">
        <v>2001</v>
      </c>
      <c r="E1859" s="147" t="s">
        <v>20</v>
      </c>
      <c r="F1859" s="249"/>
      <c r="G1859" s="88" t="s">
        <v>4573</v>
      </c>
      <c r="H1859" s="250" t="s">
        <v>199</v>
      </c>
      <c r="I1859" s="251"/>
      <c r="J1859" s="16" t="str">
        <f>HYPERLINK("http://kameyamarekihaku.jp/sisi/tuusiHP_next/kochuusei/image/10/gi.htm?pf=1305sh187.JPG&amp;?pn=%20%E7%8F%BE%E5%9C%A8%E3%81%AE%E9%96%A2%E5%AE%BF%E5%86%85%E6%96%B0%E6%89%80%EF%BC%88%E9%96%A2%E7%94%BA%E6%96%B0%E6%89%80%EF%BC%89","関宿")</f>
        <v>関宿</v>
      </c>
      <c r="K1859" s="251"/>
      <c r="L1859" s="252"/>
      <c r="M1859" s="252"/>
      <c r="N1859" s="34" t="s">
        <v>922</v>
      </c>
      <c r="O1859" s="34" t="s">
        <v>923</v>
      </c>
      <c r="P1859" s="35" t="str">
        <f t="shared" si="29"/>
        <v>むかしの道と交通／亀山の近世の道</v>
      </c>
      <c r="Q1859" s="185"/>
      <c r="R1859" s="253" t="s">
        <v>4089</v>
      </c>
    </row>
    <row r="1860" spans="1:18" customFormat="1" ht="33" customHeight="1" x14ac:dyDescent="0.15">
      <c r="A1860" s="136"/>
      <c r="B1860" s="136"/>
      <c r="C1860" s="137"/>
      <c r="D1860" s="137"/>
      <c r="E1860" s="138"/>
      <c r="F1860" s="262"/>
      <c r="G1860" s="90"/>
      <c r="H1860" s="263"/>
      <c r="I1860" s="264"/>
      <c r="J1860" s="27"/>
      <c r="K1860" s="264"/>
      <c r="L1860" s="265"/>
      <c r="M1860" s="265"/>
      <c r="N1860" s="84" t="s">
        <v>4574</v>
      </c>
      <c r="O1860" s="84" t="e">
        <v>#N/A</v>
      </c>
      <c r="P1860" s="85" t="str">
        <f t="shared" si="29"/>
        <v/>
      </c>
      <c r="Q1860" s="167"/>
      <c r="R1860" s="269"/>
    </row>
    <row r="1861" spans="1:18" customFormat="1" ht="47.25" customHeight="1" x14ac:dyDescent="0.15">
      <c r="A1861" s="151"/>
      <c r="B1861" s="151"/>
      <c r="C1861" s="152"/>
      <c r="D1861" s="152"/>
      <c r="E1861" s="153"/>
      <c r="F1861" s="254"/>
      <c r="G1861" s="91"/>
      <c r="H1861" s="255"/>
      <c r="I1861" s="256"/>
      <c r="J1861" s="18"/>
      <c r="K1861" s="256"/>
      <c r="L1861" s="257"/>
      <c r="M1861" s="257"/>
      <c r="N1861" s="86" t="s">
        <v>3974</v>
      </c>
      <c r="O1861" s="86" t="s">
        <v>3941</v>
      </c>
      <c r="P1861" s="87" t="str">
        <f t="shared" ref="P1861:P1904" si="30">IFERROR(HYPERLINK(O1861,N1861),"")</f>
        <v>亀山のいいとこさがし／景色のよいところや歴史を知る手掛かりとなるもの／関宿のまちなみ</v>
      </c>
      <c r="Q1861" s="170"/>
      <c r="R1861" s="258"/>
    </row>
    <row r="1862" spans="1:18" s="139" customFormat="1" ht="25.5" customHeight="1" x14ac:dyDescent="0.15">
      <c r="A1862" s="142" t="s">
        <v>4229</v>
      </c>
      <c r="B1862" s="142">
        <v>21</v>
      </c>
      <c r="C1862" s="143" t="s">
        <v>4575</v>
      </c>
      <c r="D1862" s="143">
        <v>2002</v>
      </c>
      <c r="E1862" s="144" t="s">
        <v>59</v>
      </c>
      <c r="F1862" s="143" t="s">
        <v>4576</v>
      </c>
      <c r="G1862" s="143"/>
      <c r="H1862" s="120"/>
      <c r="I1862" s="175"/>
      <c r="J1862" s="120"/>
      <c r="K1862" s="142"/>
      <c r="L1862" s="142"/>
      <c r="M1862" s="142"/>
      <c r="N1862" s="12"/>
      <c r="O1862" s="12" t="e">
        <v>#VALUE!</v>
      </c>
      <c r="P1862" s="13" t="str">
        <f t="shared" si="30"/>
        <v/>
      </c>
      <c r="Q1862" s="192"/>
      <c r="R1862" s="142"/>
    </row>
    <row r="1863" spans="1:18" s="139" customFormat="1" ht="43.15" customHeight="1" x14ac:dyDescent="0.15">
      <c r="A1863" s="142" t="s">
        <v>4229</v>
      </c>
      <c r="B1863" s="142">
        <v>21</v>
      </c>
      <c r="C1863" s="143" t="s">
        <v>4575</v>
      </c>
      <c r="D1863" s="143">
        <v>2002</v>
      </c>
      <c r="E1863" s="144" t="s">
        <v>34</v>
      </c>
      <c r="F1863" s="143"/>
      <c r="G1863" s="143" t="s">
        <v>4577</v>
      </c>
      <c r="H1863" s="120" t="s">
        <v>2512</v>
      </c>
      <c r="I1863" s="175" t="s">
        <v>4578</v>
      </c>
      <c r="J1863" s="22" t="str">
        <f>HYPERLINK("http://kameyamarekihaku.jp/sisi/tuusiHP_next/kinsei/image/01/gi.htm?pf=2058sh042.JPG&amp;?pn=%E9%81%8D%E7%85%A7%E5%AF%BA%E6%9C%AC%E5%A0%82%EF%BC%88%E8%A5%BF%E7%94%BA%EF%BC%89","遍照寺")</f>
        <v>遍照寺</v>
      </c>
      <c r="K1863" s="142"/>
      <c r="L1863" s="142"/>
      <c r="M1863" s="142" t="s">
        <v>4579</v>
      </c>
      <c r="N1863" s="19"/>
      <c r="O1863" s="19" t="e">
        <v>#VALUE!</v>
      </c>
      <c r="P1863" s="20" t="str">
        <f t="shared" si="30"/>
        <v/>
      </c>
      <c r="Q1863" s="21" t="str">
        <f>HYPERLINK("http:/kameyamarekihaku.jp/sisi/tuusiHP_next/tuusi-index.html#kingendai0904","市史通史編 近代・現代第9章第4節")</f>
        <v>市史通史編 近代・現代第9章第4節</v>
      </c>
      <c r="R1863" s="142" t="s">
        <v>4580</v>
      </c>
    </row>
    <row r="1864" spans="1:18" customFormat="1" ht="29.1" customHeight="1" x14ac:dyDescent="0.15">
      <c r="A1864" s="142" t="s">
        <v>4229</v>
      </c>
      <c r="B1864" s="142">
        <v>21</v>
      </c>
      <c r="C1864" s="143" t="s">
        <v>4575</v>
      </c>
      <c r="D1864" s="143">
        <v>2002</v>
      </c>
      <c r="E1864" s="144" t="s">
        <v>20</v>
      </c>
      <c r="F1864" s="245"/>
      <c r="G1864" s="120" t="s">
        <v>4581</v>
      </c>
      <c r="H1864" s="120" t="s">
        <v>199</v>
      </c>
      <c r="I1864" s="120" t="s">
        <v>3265</v>
      </c>
      <c r="J1864" s="247"/>
      <c r="K1864" s="247"/>
      <c r="L1864" s="248"/>
      <c r="M1864" s="248"/>
      <c r="N1864" s="12"/>
      <c r="O1864" s="12" t="e">
        <v>#VALUE!</v>
      </c>
      <c r="P1864" s="13" t="str">
        <f t="shared" si="30"/>
        <v/>
      </c>
      <c r="Q1864" s="194"/>
      <c r="R1864" s="244" t="s">
        <v>4089</v>
      </c>
    </row>
    <row r="1865" spans="1:18" customFormat="1" ht="33.75" customHeight="1" x14ac:dyDescent="0.15">
      <c r="A1865" s="145" t="s">
        <v>4229</v>
      </c>
      <c r="B1865" s="145">
        <v>21</v>
      </c>
      <c r="C1865" s="146" t="s">
        <v>4575</v>
      </c>
      <c r="D1865" s="146">
        <v>2002</v>
      </c>
      <c r="E1865" s="147" t="s">
        <v>20</v>
      </c>
      <c r="F1865" s="249"/>
      <c r="G1865" s="88" t="s">
        <v>4582</v>
      </c>
      <c r="H1865" s="250"/>
      <c r="I1865" s="251"/>
      <c r="J1865" s="251"/>
      <c r="K1865" s="251"/>
      <c r="L1865" s="252"/>
      <c r="M1865" s="252"/>
      <c r="N1865" s="34" t="s">
        <v>4583</v>
      </c>
      <c r="O1865" s="34" t="s">
        <v>4359</v>
      </c>
      <c r="P1865" s="35" t="str">
        <f t="shared" si="30"/>
        <v>日本の歴史の中の亀山／現代の亀山／行政と政治／下水道</v>
      </c>
      <c r="Q1865" s="185"/>
      <c r="R1865" s="252" t="s">
        <v>4089</v>
      </c>
    </row>
    <row r="1866" spans="1:18" customFormat="1" ht="35.25" customHeight="1" x14ac:dyDescent="0.15">
      <c r="A1866" s="151"/>
      <c r="B1866" s="151"/>
      <c r="C1866" s="152"/>
      <c r="D1866" s="152"/>
      <c r="E1866" s="153"/>
      <c r="F1866" s="254"/>
      <c r="G1866" s="91"/>
      <c r="H1866" s="255"/>
      <c r="I1866" s="256"/>
      <c r="J1866" s="256"/>
      <c r="K1866" s="256"/>
      <c r="L1866" s="257"/>
      <c r="M1866" s="257"/>
      <c r="N1866" s="86" t="s">
        <v>4361</v>
      </c>
      <c r="O1866" s="86" t="s">
        <v>4362</v>
      </c>
      <c r="P1866" s="87" t="str">
        <f t="shared" si="30"/>
        <v>日本の歴史の中の亀山／現代の亀山／行政と政治／し尿処理場</v>
      </c>
      <c r="Q1866" s="170"/>
      <c r="R1866" s="257"/>
    </row>
    <row r="1867" spans="1:18" s="139" customFormat="1" ht="15" customHeight="1" x14ac:dyDescent="0.15">
      <c r="A1867" s="142" t="s">
        <v>4229</v>
      </c>
      <c r="B1867" s="142">
        <v>21</v>
      </c>
      <c r="C1867" s="143" t="s">
        <v>4575</v>
      </c>
      <c r="D1867" s="143">
        <v>2002</v>
      </c>
      <c r="E1867" s="144" t="s">
        <v>59</v>
      </c>
      <c r="F1867" s="143" t="s">
        <v>4584</v>
      </c>
      <c r="G1867" s="143"/>
      <c r="H1867" s="142"/>
      <c r="I1867" s="143"/>
      <c r="J1867" s="142"/>
      <c r="K1867" s="142"/>
      <c r="L1867" s="142"/>
      <c r="M1867" s="142"/>
      <c r="N1867" s="12"/>
      <c r="O1867" s="12" t="e">
        <v>#VALUE!</v>
      </c>
      <c r="P1867" s="13" t="str">
        <f t="shared" si="30"/>
        <v/>
      </c>
      <c r="Q1867" s="158"/>
      <c r="R1867" s="142"/>
    </row>
    <row r="1868" spans="1:18" customFormat="1" ht="15" customHeight="1" x14ac:dyDescent="0.15">
      <c r="A1868" s="142" t="s">
        <v>4229</v>
      </c>
      <c r="B1868" s="142">
        <v>21</v>
      </c>
      <c r="C1868" s="243" t="s">
        <v>4585</v>
      </c>
      <c r="D1868" s="244">
        <v>2003</v>
      </c>
      <c r="E1868" s="144" t="s">
        <v>20</v>
      </c>
      <c r="F1868" s="245"/>
      <c r="G1868" s="120" t="s">
        <v>4586</v>
      </c>
      <c r="H1868" s="246" t="s">
        <v>199</v>
      </c>
      <c r="I1868" s="246" t="s">
        <v>4250</v>
      </c>
      <c r="J1868" s="275" t="s">
        <v>4587</v>
      </c>
      <c r="K1868" s="247"/>
      <c r="L1868" s="248"/>
      <c r="M1868" s="248"/>
      <c r="N1868" s="12"/>
      <c r="O1868" s="12" t="e">
        <v>#VALUE!</v>
      </c>
      <c r="P1868" s="13" t="str">
        <f t="shared" si="30"/>
        <v/>
      </c>
      <c r="Q1868" s="194"/>
      <c r="R1868" s="248" t="s">
        <v>4089</v>
      </c>
    </row>
    <row r="1869" spans="1:18" customFormat="1" ht="15" customHeight="1" x14ac:dyDescent="0.15">
      <c r="A1869" s="142" t="s">
        <v>4229</v>
      </c>
      <c r="B1869" s="142">
        <v>21</v>
      </c>
      <c r="C1869" s="243" t="s">
        <v>4585</v>
      </c>
      <c r="D1869" s="244">
        <v>2003</v>
      </c>
      <c r="E1869" s="144" t="s">
        <v>20</v>
      </c>
      <c r="F1869" s="245"/>
      <c r="G1869" s="120" t="s">
        <v>4588</v>
      </c>
      <c r="H1869" s="246"/>
      <c r="I1869" s="247"/>
      <c r="J1869" s="247"/>
      <c r="K1869" s="247"/>
      <c r="L1869" s="248"/>
      <c r="M1869" s="248"/>
      <c r="N1869" s="12"/>
      <c r="O1869" s="12" t="e">
        <v>#VALUE!</v>
      </c>
      <c r="P1869" s="13" t="str">
        <f t="shared" si="30"/>
        <v/>
      </c>
      <c r="Q1869" s="194"/>
      <c r="R1869" s="248" t="s">
        <v>4089</v>
      </c>
    </row>
    <row r="1870" spans="1:18" s="139" customFormat="1" ht="15" customHeight="1" x14ac:dyDescent="0.15">
      <c r="A1870" s="142" t="s">
        <v>4229</v>
      </c>
      <c r="B1870" s="142">
        <v>21</v>
      </c>
      <c r="C1870" s="143" t="s">
        <v>4589</v>
      </c>
      <c r="D1870" s="143">
        <v>2004</v>
      </c>
      <c r="E1870" s="144" t="s">
        <v>59</v>
      </c>
      <c r="F1870" s="143" t="s">
        <v>4590</v>
      </c>
      <c r="G1870" s="143"/>
      <c r="H1870" s="142"/>
      <c r="I1870" s="143"/>
      <c r="J1870" s="142"/>
      <c r="K1870" s="142"/>
      <c r="L1870" s="142"/>
      <c r="M1870" s="142"/>
      <c r="N1870" s="12"/>
      <c r="O1870" s="12" t="e">
        <v>#VALUE!</v>
      </c>
      <c r="P1870" s="13" t="str">
        <f t="shared" si="30"/>
        <v/>
      </c>
      <c r="Q1870" s="158"/>
      <c r="R1870" s="142"/>
    </row>
    <row r="1871" spans="1:18" s="139" customFormat="1" ht="30" customHeight="1" x14ac:dyDescent="0.15">
      <c r="A1871" s="142" t="s">
        <v>4229</v>
      </c>
      <c r="B1871" s="142">
        <v>21</v>
      </c>
      <c r="C1871" s="143" t="s">
        <v>4589</v>
      </c>
      <c r="D1871" s="143">
        <v>2004</v>
      </c>
      <c r="E1871" s="144" t="s">
        <v>20</v>
      </c>
      <c r="F1871" s="143"/>
      <c r="G1871" s="143" t="s">
        <v>4591</v>
      </c>
      <c r="H1871" s="142" t="s">
        <v>199</v>
      </c>
      <c r="I1871" s="143" t="s">
        <v>4592</v>
      </c>
      <c r="J1871" s="82" t="str">
        <f>HYPERLINK("http://kameyamarekihaku.jp/sisi/tuusiHP_next/kingendai/image/09/gi.htm?pf=3086sh009-01.JPG&amp;?pn=%20%E3%82%B7%E3%83%A3%E3%83%BC%E3%83%97%E4%BA%80%E5%B1%B1%E5%B7%A5%E5%A0%B4%EF%BC%88%E7%A9%BA%E4%B8%AD%E5%86%99%E7%9C%9F%EF%BC%89","シャープ亀山工場")</f>
        <v>シャープ亀山工場</v>
      </c>
      <c r="K1871" s="142"/>
      <c r="L1871" s="142"/>
      <c r="M1871" s="142"/>
      <c r="N1871" s="23" t="s">
        <v>4593</v>
      </c>
      <c r="O1871" s="23" t="s">
        <v>4594</v>
      </c>
      <c r="P1871" s="24" t="str">
        <f t="shared" si="30"/>
        <v>日本の歴史の中の亀山／現代の亀山／産業／工業／液晶</v>
      </c>
      <c r="Q1871" s="25" t="str">
        <f>HYPERLINK("http:/kameyamarekihaku.jp/sisi/tuusiHP_next/tuusi-index.html#kingendai0902","市史通史編 近代・現代第9章第2節第2項")</f>
        <v>市史通史編 近代・現代第9章第2節第2項</v>
      </c>
      <c r="R1871" s="142" t="s">
        <v>2227</v>
      </c>
    </row>
    <row r="1872" spans="1:18" customFormat="1" ht="27.75" customHeight="1" x14ac:dyDescent="0.15">
      <c r="A1872" s="142" t="s">
        <v>4229</v>
      </c>
      <c r="B1872" s="142">
        <v>21</v>
      </c>
      <c r="C1872" s="243" t="s">
        <v>4595</v>
      </c>
      <c r="D1872" s="244">
        <v>2004</v>
      </c>
      <c r="E1872" s="144" t="s">
        <v>20</v>
      </c>
      <c r="F1872" s="245"/>
      <c r="G1872" s="120" t="s">
        <v>4596</v>
      </c>
      <c r="H1872" s="120" t="s">
        <v>199</v>
      </c>
      <c r="I1872" s="196" t="s">
        <v>4597</v>
      </c>
      <c r="J1872" s="275" t="s">
        <v>4598</v>
      </c>
      <c r="K1872" s="247"/>
      <c r="L1872" s="248"/>
      <c r="M1872" s="248"/>
      <c r="N1872" s="12"/>
      <c r="O1872" s="12" t="e">
        <v>#VALUE!</v>
      </c>
      <c r="P1872" s="13" t="str">
        <f t="shared" si="30"/>
        <v/>
      </c>
      <c r="Q1872" s="194"/>
      <c r="R1872" s="244" t="s">
        <v>4089</v>
      </c>
    </row>
    <row r="1873" spans="1:18" customFormat="1" ht="15" customHeight="1" x14ac:dyDescent="0.15">
      <c r="A1873" s="142" t="s">
        <v>4229</v>
      </c>
      <c r="B1873" s="142">
        <v>21</v>
      </c>
      <c r="C1873" s="243" t="s">
        <v>4595</v>
      </c>
      <c r="D1873" s="244">
        <v>2004</v>
      </c>
      <c r="E1873" s="144" t="s">
        <v>20</v>
      </c>
      <c r="F1873" s="245"/>
      <c r="G1873" s="120" t="s">
        <v>4599</v>
      </c>
      <c r="H1873" s="246" t="s">
        <v>199</v>
      </c>
      <c r="I1873" s="246" t="s">
        <v>622</v>
      </c>
      <c r="J1873" s="247"/>
      <c r="K1873" s="247"/>
      <c r="L1873" s="248"/>
      <c r="M1873" s="248"/>
      <c r="N1873" s="12"/>
      <c r="O1873" s="12" t="e">
        <v>#VALUE!</v>
      </c>
      <c r="P1873" s="13" t="str">
        <f t="shared" si="30"/>
        <v/>
      </c>
      <c r="Q1873" s="194"/>
      <c r="R1873" s="248" t="s">
        <v>4089</v>
      </c>
    </row>
    <row r="1874" spans="1:18" customFormat="1" ht="15" customHeight="1" x14ac:dyDescent="0.15">
      <c r="A1874" s="142" t="s">
        <v>4229</v>
      </c>
      <c r="B1874" s="142">
        <v>21</v>
      </c>
      <c r="C1874" s="243" t="s">
        <v>4595</v>
      </c>
      <c r="D1874" s="244">
        <v>2004</v>
      </c>
      <c r="E1874" s="144" t="s">
        <v>20</v>
      </c>
      <c r="F1874" s="245"/>
      <c r="G1874" s="120" t="s">
        <v>4600</v>
      </c>
      <c r="H1874" s="246" t="s">
        <v>3107</v>
      </c>
      <c r="I1874" s="247"/>
      <c r="J1874" s="247"/>
      <c r="K1874" s="247"/>
      <c r="L1874" s="248"/>
      <c r="M1874" s="248"/>
      <c r="N1874" s="12"/>
      <c r="O1874" s="12" t="e">
        <v>#VALUE!</v>
      </c>
      <c r="P1874" s="13" t="str">
        <f t="shared" si="30"/>
        <v/>
      </c>
      <c r="Q1874" s="194"/>
      <c r="R1874" s="248" t="s">
        <v>4089</v>
      </c>
    </row>
    <row r="1875" spans="1:18" s="139" customFormat="1" ht="15" customHeight="1" x14ac:dyDescent="0.15">
      <c r="A1875" s="142" t="s">
        <v>4229</v>
      </c>
      <c r="B1875" s="142">
        <v>21</v>
      </c>
      <c r="C1875" s="143" t="s">
        <v>4601</v>
      </c>
      <c r="D1875" s="143">
        <v>2005</v>
      </c>
      <c r="E1875" s="144" t="s">
        <v>59</v>
      </c>
      <c r="F1875" s="143" t="s">
        <v>4602</v>
      </c>
      <c r="G1875" s="143"/>
      <c r="H1875" s="142"/>
      <c r="I1875" s="143"/>
      <c r="J1875" s="142"/>
      <c r="K1875" s="142"/>
      <c r="L1875" s="142"/>
      <c r="M1875" s="142"/>
      <c r="N1875" s="12"/>
      <c r="O1875" s="12" t="e">
        <v>#VALUE!</v>
      </c>
      <c r="P1875" s="13" t="str">
        <f t="shared" si="30"/>
        <v/>
      </c>
      <c r="Q1875" s="158"/>
      <c r="R1875" s="142"/>
    </row>
    <row r="1876" spans="1:18" s="139" customFormat="1" ht="49.5" customHeight="1" x14ac:dyDescent="0.15">
      <c r="A1876" s="142" t="s">
        <v>4229</v>
      </c>
      <c r="B1876" s="142">
        <v>21</v>
      </c>
      <c r="C1876" s="143" t="s">
        <v>4601</v>
      </c>
      <c r="D1876" s="143">
        <v>2005</v>
      </c>
      <c r="E1876" s="144" t="s">
        <v>20</v>
      </c>
      <c r="F1876" s="143"/>
      <c r="G1876" s="143" t="s">
        <v>4603</v>
      </c>
      <c r="H1876" s="142"/>
      <c r="I1876" s="143"/>
      <c r="J1876" s="142"/>
      <c r="K1876" s="142"/>
      <c r="L1876" s="142"/>
      <c r="M1876" s="142"/>
      <c r="N1876" s="12" t="s">
        <v>4604</v>
      </c>
      <c r="O1876" s="12" t="s">
        <v>4605</v>
      </c>
      <c r="P1876" s="13" t="str">
        <f t="shared" si="30"/>
        <v>日本の歴史の中の亀山／現代の亀山／行政と政治／合併による亀山市、関町の誕生／亀山市まちづくり基本条例</v>
      </c>
      <c r="Q1876" s="158"/>
      <c r="R1876" s="142" t="s">
        <v>4606</v>
      </c>
    </row>
    <row r="1877" spans="1:18" s="139" customFormat="1" ht="18" customHeight="1" x14ac:dyDescent="0.15">
      <c r="A1877" s="145" t="s">
        <v>4229</v>
      </c>
      <c r="B1877" s="145">
        <v>21</v>
      </c>
      <c r="C1877" s="146" t="s">
        <v>4607</v>
      </c>
      <c r="D1877" s="146">
        <v>2006</v>
      </c>
      <c r="E1877" s="147" t="s">
        <v>20</v>
      </c>
      <c r="F1877" s="146"/>
      <c r="G1877" s="146" t="s">
        <v>4608</v>
      </c>
      <c r="H1877" s="145" t="s">
        <v>199</v>
      </c>
      <c r="I1877" s="146" t="s">
        <v>2475</v>
      </c>
      <c r="J1877" s="71" t="str">
        <f>HYPERLINK("http://kameyamarekihaku.jp/sisi/koukoHP/gi/gi.htm?pf=sha7-2-1.jpg&amp;pn=%E8%A5%BF%E5%9F%8E%E5%A3%81%E3%81%AE%E5%9F%BA%E7%A4%8E%E9%80%A0%E6%88%90%E3%80%80%E4%B8%8B%E6%AE%B5%E6%96%AD%E9%9D%A2%EF%BC%88%E5%8D%97%E8%A5%BF%E3%81%8B%E3%82%89%EF%BC%89","鈴鹿関跡")</f>
        <v>鈴鹿関跡</v>
      </c>
      <c r="K1877" s="145"/>
      <c r="L1877" s="16" t="str">
        <f>HYPERLINK("http://kameyamarekihaku.jp/sisi/KoukoHP/archives/suzukaseki1/01/01-05/gi.html?pf=SKS10105-05-018.jpg&amp;pn=%E9%87%8D%E5%9C%8F%E6%96%87%E8%BB%92%E4%B8%B8","重圏文軒丸瓦など出土遺物")</f>
        <v>重圏文軒丸瓦など出土遺物</v>
      </c>
      <c r="M1877" s="145"/>
      <c r="N1877" s="310" t="s">
        <v>4609</v>
      </c>
      <c r="O1877" s="310" t="s">
        <v>4610</v>
      </c>
      <c r="P1877" s="311" t="str">
        <f t="shared" si="30"/>
        <v>日本の歴史の中の亀山／古代の亀山／古代国家のあゆみと亀山／律令国家の成立と亀山／古代の関所／鈴鹿関跡（１）</v>
      </c>
      <c r="Q1877" s="17" t="str">
        <f>HYPERLINK("http:/kameyamarekihaku.jp/sisi/KoukoHP/dai7sho.html","市史考古編第7章")</f>
        <v>市史考古編第7章</v>
      </c>
      <c r="R1877" s="347" t="s">
        <v>4611</v>
      </c>
    </row>
    <row r="1878" spans="1:18" s="139" customFormat="1" ht="29.25" customHeight="1" x14ac:dyDescent="0.15">
      <c r="A1878" s="136"/>
      <c r="B1878" s="136"/>
      <c r="C1878" s="137"/>
      <c r="D1878" s="137"/>
      <c r="E1878" s="138"/>
      <c r="F1878" s="137"/>
      <c r="G1878" s="137"/>
      <c r="H1878" s="136"/>
      <c r="I1878" s="137"/>
      <c r="J1878" s="76"/>
      <c r="K1878" s="136"/>
      <c r="L1878" s="27"/>
      <c r="M1878" s="136"/>
      <c r="N1878" s="317"/>
      <c r="O1878" s="317" t="e">
        <v>#VALUE!</v>
      </c>
      <c r="P1878" s="318" t="str">
        <f t="shared" si="30"/>
        <v/>
      </c>
      <c r="Q1878" s="21" t="str">
        <f>HYPERLINK("http:/kameyamarekihaku.jp/sisi/tuusiHP_next/tuusi-index.html#kingendai0904","市史通史編 近代・現代第9章第4節")</f>
        <v>市史通史編 近代・現代第9章第4節</v>
      </c>
      <c r="R1878" s="332"/>
    </row>
    <row r="1879" spans="1:18" s="139" customFormat="1" ht="30.75" customHeight="1" x14ac:dyDescent="0.15">
      <c r="A1879" s="151"/>
      <c r="B1879" s="151"/>
      <c r="C1879" s="152"/>
      <c r="D1879" s="152"/>
      <c r="E1879" s="153"/>
      <c r="F1879" s="152"/>
      <c r="G1879" s="152"/>
      <c r="H1879" s="151"/>
      <c r="I1879" s="152"/>
      <c r="J1879" s="102"/>
      <c r="K1879" s="151"/>
      <c r="L1879" s="18"/>
      <c r="M1879" s="151"/>
      <c r="N1879" s="29"/>
      <c r="O1879" s="29" t="e">
        <v>#VALUE!</v>
      </c>
      <c r="P1879" s="30" t="str">
        <f t="shared" si="30"/>
        <v/>
      </c>
      <c r="Q1879" s="10" t="str">
        <f>HYPERLINK("http://kameyamarekihaku.jp/sisi/koukoHP/eizou.html","市史考古分野　鈴鹿関３Dアニメーション")</f>
        <v>市史考古分野　鈴鹿関３Dアニメーション</v>
      </c>
      <c r="R1879" s="157"/>
    </row>
    <row r="1880" spans="1:18" s="139" customFormat="1" ht="43.9" customHeight="1" x14ac:dyDescent="0.15">
      <c r="A1880" s="142" t="s">
        <v>4229</v>
      </c>
      <c r="B1880" s="142">
        <v>21</v>
      </c>
      <c r="C1880" s="143" t="s">
        <v>4607</v>
      </c>
      <c r="D1880" s="143">
        <v>2006</v>
      </c>
      <c r="E1880" s="144" t="s">
        <v>20</v>
      </c>
      <c r="F1880" s="143"/>
      <c r="G1880" s="143" t="s">
        <v>4612</v>
      </c>
      <c r="H1880" s="142"/>
      <c r="I1880" s="143"/>
      <c r="J1880" s="142"/>
      <c r="K1880" s="142"/>
      <c r="L1880" s="142"/>
      <c r="M1880" s="142"/>
      <c r="N1880" s="119"/>
      <c r="O1880" s="12" t="e">
        <v>#VALUE!</v>
      </c>
      <c r="P1880" s="13" t="str">
        <f t="shared" si="30"/>
        <v/>
      </c>
      <c r="Q1880" s="142"/>
      <c r="R1880" s="142"/>
    </row>
    <row r="1881" spans="1:18" s="139" customFormat="1" ht="31.5" customHeight="1" x14ac:dyDescent="0.15">
      <c r="A1881" s="145" t="s">
        <v>4229</v>
      </c>
      <c r="B1881" s="145">
        <v>21</v>
      </c>
      <c r="C1881" s="146" t="s">
        <v>4613</v>
      </c>
      <c r="D1881" s="146">
        <v>2007</v>
      </c>
      <c r="E1881" s="147" t="s">
        <v>20</v>
      </c>
      <c r="F1881" s="146"/>
      <c r="G1881" s="146" t="s">
        <v>4614</v>
      </c>
      <c r="H1881" s="145" t="s">
        <v>464</v>
      </c>
      <c r="I1881" s="146" t="s">
        <v>947</v>
      </c>
      <c r="J1881" s="145" t="s">
        <v>4615</v>
      </c>
      <c r="K1881" s="145"/>
      <c r="M1881" s="145"/>
      <c r="N1881" s="32" t="s">
        <v>4616</v>
      </c>
      <c r="O1881" s="32" t="s">
        <v>836</v>
      </c>
      <c r="P1881" s="33" t="str">
        <f t="shared" si="30"/>
        <v>亀山のむかしばなし／こわいはなし／大地震の話／亀山の大地震</v>
      </c>
      <c r="Q1881" s="17" t="str">
        <f>HYPERLINK("http://kameyamarekihaku.jp/sisi/koukoHP/archives/jisingoisigaki/01/01-01/JISIN0101-01.html","三重県中部地震直後の亀山城石垣")</f>
        <v>三重県中部地震直後の亀山城石垣</v>
      </c>
      <c r="R1881" s="145"/>
    </row>
    <row r="1882" spans="1:18" s="139" customFormat="1" ht="20.25" customHeight="1" x14ac:dyDescent="0.15">
      <c r="A1882" s="136"/>
      <c r="B1882" s="136"/>
      <c r="C1882" s="137"/>
      <c r="D1882" s="137"/>
      <c r="E1882" s="138"/>
      <c r="F1882" s="137"/>
      <c r="G1882" s="137"/>
      <c r="H1882" s="136"/>
      <c r="I1882" s="137"/>
      <c r="J1882" s="136"/>
      <c r="K1882" s="136"/>
      <c r="L1882" s="208"/>
      <c r="M1882" s="136"/>
      <c r="N1882" s="19" t="s">
        <v>4617</v>
      </c>
      <c r="O1882" s="19" t="s">
        <v>1852</v>
      </c>
      <c r="P1882" s="20" t="str">
        <f t="shared" si="30"/>
        <v>亀山城と宿場／亀山城のつくり／石垣</v>
      </c>
      <c r="Q1882" s="21"/>
      <c r="R1882" s="136"/>
    </row>
    <row r="1883" spans="1:18" s="139" customFormat="1" ht="31.5" customHeight="1" x14ac:dyDescent="0.15">
      <c r="A1883" s="151"/>
      <c r="B1883" s="151"/>
      <c r="C1883" s="152"/>
      <c r="D1883" s="152"/>
      <c r="E1883" s="153"/>
      <c r="F1883" s="152"/>
      <c r="G1883" s="152"/>
      <c r="H1883" s="151"/>
      <c r="I1883" s="152"/>
      <c r="J1883" s="151"/>
      <c r="K1883" s="151"/>
      <c r="L1883" s="151"/>
      <c r="M1883" s="151"/>
      <c r="N1883" s="29" t="s">
        <v>4618</v>
      </c>
      <c r="O1883" s="29" t="s">
        <v>4619</v>
      </c>
      <c r="P1883" s="30" t="str">
        <f t="shared" si="30"/>
        <v>日本の歴史の中の亀山／現代の亀山／自然災害／地震による災害</v>
      </c>
      <c r="Q1883" s="10"/>
      <c r="R1883" s="151"/>
    </row>
    <row r="1884" spans="1:18" s="139" customFormat="1" ht="28.5" customHeight="1" x14ac:dyDescent="0.15">
      <c r="A1884" s="142" t="s">
        <v>4229</v>
      </c>
      <c r="B1884" s="142">
        <v>20</v>
      </c>
      <c r="C1884" s="143" t="s">
        <v>4613</v>
      </c>
      <c r="D1884" s="143">
        <v>2007</v>
      </c>
      <c r="E1884" s="144" t="s">
        <v>34</v>
      </c>
      <c r="F1884" s="143"/>
      <c r="G1884" s="143" t="s">
        <v>4620</v>
      </c>
      <c r="H1884" s="142"/>
      <c r="I1884" s="143"/>
      <c r="J1884" s="142"/>
      <c r="K1884" s="142" t="s">
        <v>4621</v>
      </c>
      <c r="L1884" s="142"/>
      <c r="M1884" s="142"/>
      <c r="N1884" s="12"/>
      <c r="O1884" s="12" t="e">
        <v>#VALUE!</v>
      </c>
      <c r="P1884" s="13" t="str">
        <f t="shared" si="30"/>
        <v/>
      </c>
      <c r="Q1884" s="158"/>
      <c r="R1884" s="142"/>
    </row>
    <row r="1885" spans="1:18" s="139" customFormat="1" ht="33.75" customHeight="1" x14ac:dyDescent="0.15">
      <c r="A1885" s="145" t="s">
        <v>4229</v>
      </c>
      <c r="B1885" s="145">
        <v>21</v>
      </c>
      <c r="C1885" s="146" t="s">
        <v>4622</v>
      </c>
      <c r="D1885" s="146">
        <v>2008</v>
      </c>
      <c r="E1885" s="147" t="s">
        <v>20</v>
      </c>
      <c r="F1885" s="380" t="s">
        <v>4623</v>
      </c>
      <c r="G1885" s="146"/>
      <c r="H1885" s="145"/>
      <c r="I1885" s="146"/>
      <c r="J1885" s="145"/>
      <c r="K1885" s="145" t="s">
        <v>4520</v>
      </c>
      <c r="L1885" s="71" t="str">
        <f>HYPERLINK("http://kameyamarekihaku.jp/test/shosai.php?key3=02704&amp;kensaku=1","服部四郎関係資料（イナウなど）")</f>
        <v>服部四郎関係資料（イナウなど）</v>
      </c>
      <c r="M1885" s="145"/>
      <c r="N1885" s="32"/>
      <c r="O1885" s="32" t="e">
        <v>#VALUE!</v>
      </c>
      <c r="P1885" s="33" t="str">
        <f t="shared" si="30"/>
        <v/>
      </c>
      <c r="Q1885" s="337" t="str">
        <f>HYPERLINK("http://kameyamarekihaku.jp/23kikaku/info.html","企画展「－世界に冠たる亀山人－映画監督衣笠貞之助と言語学者服部四郎」")</f>
        <v>企画展「－世界に冠たる亀山人－映画監督衣笠貞之助と言語学者服部四郎」</v>
      </c>
      <c r="R1885" s="145" t="s">
        <v>4624</v>
      </c>
    </row>
    <row r="1886" spans="1:18" s="139" customFormat="1" ht="18" customHeight="1" x14ac:dyDescent="0.15">
      <c r="A1886" s="151"/>
      <c r="B1886" s="151"/>
      <c r="C1886" s="152"/>
      <c r="D1886" s="152"/>
      <c r="E1886" s="153"/>
      <c r="F1886" s="382"/>
      <c r="G1886" s="152"/>
      <c r="H1886" s="151"/>
      <c r="I1886" s="152"/>
      <c r="J1886" s="151"/>
      <c r="K1886" s="151"/>
      <c r="L1886" s="102" t="str">
        <f>HYPERLINK("http://kameyamarekihaku.jp/test/shosai.php?key3=02908&amp;kensaku=1","アイヌ語辞典（服部四郎文庫）")</f>
        <v>アイヌ語辞典（服部四郎文庫）</v>
      </c>
      <c r="M1886" s="151"/>
      <c r="N1886" s="29"/>
      <c r="O1886" s="29" t="e">
        <v>#VALUE!</v>
      </c>
      <c r="P1886" s="30" t="str">
        <f t="shared" si="30"/>
        <v/>
      </c>
      <c r="Q1886" s="339"/>
      <c r="R1886" s="151"/>
    </row>
    <row r="1887" spans="1:18" s="139" customFormat="1" ht="15" customHeight="1" x14ac:dyDescent="0.15">
      <c r="A1887" s="142" t="s">
        <v>4229</v>
      </c>
      <c r="B1887" s="142">
        <v>21</v>
      </c>
      <c r="C1887" s="143" t="s">
        <v>4622</v>
      </c>
      <c r="D1887" s="143">
        <v>2008</v>
      </c>
      <c r="E1887" s="144" t="s">
        <v>20</v>
      </c>
      <c r="F1887" s="143"/>
      <c r="G1887" s="143" t="s">
        <v>4625</v>
      </c>
      <c r="H1887" s="142"/>
      <c r="I1887" s="143"/>
      <c r="J1887" s="142"/>
      <c r="K1887" s="142"/>
      <c r="L1887" s="142"/>
      <c r="M1887" s="142"/>
      <c r="N1887" s="12"/>
      <c r="O1887" s="12" t="e">
        <v>#VALUE!</v>
      </c>
      <c r="P1887" s="13" t="str">
        <f t="shared" si="30"/>
        <v/>
      </c>
      <c r="Q1887" s="158"/>
      <c r="R1887" s="142"/>
    </row>
    <row r="1888" spans="1:18" s="139" customFormat="1" ht="15" customHeight="1" x14ac:dyDescent="0.15">
      <c r="A1888" s="142" t="s">
        <v>4229</v>
      </c>
      <c r="B1888" s="142">
        <v>21</v>
      </c>
      <c r="C1888" s="143" t="s">
        <v>4622</v>
      </c>
      <c r="D1888" s="143">
        <v>2008</v>
      </c>
      <c r="E1888" s="144" t="s">
        <v>59</v>
      </c>
      <c r="F1888" s="143" t="s">
        <v>4626</v>
      </c>
      <c r="G1888" s="143"/>
      <c r="H1888" s="142"/>
      <c r="I1888" s="143"/>
      <c r="J1888" s="142"/>
      <c r="K1888" s="142"/>
      <c r="L1888" s="142"/>
      <c r="M1888" s="142"/>
      <c r="N1888" s="12"/>
      <c r="O1888" s="12" t="e">
        <v>#VALUE!</v>
      </c>
      <c r="P1888" s="13" t="str">
        <f t="shared" si="30"/>
        <v/>
      </c>
      <c r="Q1888" s="158"/>
      <c r="R1888" s="142"/>
    </row>
    <row r="1889" spans="1:18" s="139" customFormat="1" ht="30.75" customHeight="1" x14ac:dyDescent="0.15">
      <c r="A1889" s="142" t="s">
        <v>4229</v>
      </c>
      <c r="B1889" s="142">
        <v>21</v>
      </c>
      <c r="C1889" s="143" t="s">
        <v>4622</v>
      </c>
      <c r="D1889" s="143">
        <v>2008</v>
      </c>
      <c r="E1889" s="144" t="s">
        <v>20</v>
      </c>
      <c r="F1889" s="143"/>
      <c r="G1889" s="143" t="s">
        <v>4627</v>
      </c>
      <c r="H1889" s="142"/>
      <c r="I1889" s="143"/>
      <c r="J1889" s="142" t="s">
        <v>4628</v>
      </c>
      <c r="K1889" s="142"/>
      <c r="L1889" s="142"/>
      <c r="M1889" s="142"/>
      <c r="N1889" s="12" t="s">
        <v>4629</v>
      </c>
      <c r="O1889" s="12" t="s">
        <v>3405</v>
      </c>
      <c r="P1889" s="13" t="str">
        <f t="shared" si="30"/>
        <v>日本の歴史の中の亀山／現代の亀山／交通と通信／道路網の整備</v>
      </c>
      <c r="Q1889" s="158"/>
      <c r="R1889" s="142"/>
    </row>
    <row r="1890" spans="1:18" s="139" customFormat="1" ht="28.5" customHeight="1" x14ac:dyDescent="0.15">
      <c r="A1890" s="142" t="s">
        <v>4229</v>
      </c>
      <c r="B1890" s="142">
        <v>21</v>
      </c>
      <c r="C1890" s="143" t="s">
        <v>4630</v>
      </c>
      <c r="D1890" s="143">
        <v>2009</v>
      </c>
      <c r="E1890" s="144" t="s">
        <v>20</v>
      </c>
      <c r="F1890" s="143"/>
      <c r="G1890" s="143" t="s">
        <v>4631</v>
      </c>
      <c r="H1890" s="142"/>
      <c r="I1890" s="143"/>
      <c r="J1890" s="142"/>
      <c r="K1890" s="142"/>
      <c r="L1890" s="142"/>
      <c r="M1890" s="142"/>
      <c r="N1890" s="12"/>
      <c r="O1890" s="12" t="e">
        <v>#VALUE!</v>
      </c>
      <c r="P1890" s="13" t="str">
        <f t="shared" si="30"/>
        <v/>
      </c>
      <c r="Q1890" s="158"/>
      <c r="R1890" s="142"/>
    </row>
    <row r="1891" spans="1:18" s="6" customFormat="1" ht="28.5" customHeight="1" x14ac:dyDescent="0.15">
      <c r="A1891" s="142" t="s">
        <v>4229</v>
      </c>
      <c r="B1891" s="142">
        <v>21</v>
      </c>
      <c r="C1891" s="175" t="s">
        <v>4632</v>
      </c>
      <c r="D1891" s="175">
        <v>2009</v>
      </c>
      <c r="E1891" s="144" t="s">
        <v>34</v>
      </c>
      <c r="F1891" s="175"/>
      <c r="G1891" s="175" t="s">
        <v>4633</v>
      </c>
      <c r="H1891" s="120" t="s">
        <v>2656</v>
      </c>
      <c r="I1891" s="175" t="s">
        <v>4634</v>
      </c>
      <c r="J1891" s="120" t="s">
        <v>4635</v>
      </c>
      <c r="K1891" s="120"/>
      <c r="L1891" s="120"/>
      <c r="M1891" s="120" t="s">
        <v>4635</v>
      </c>
      <c r="N1891" s="23" t="s">
        <v>4636</v>
      </c>
      <c r="O1891" s="23" t="s">
        <v>3192</v>
      </c>
      <c r="P1891" s="24" t="str">
        <f t="shared" si="30"/>
        <v>学校のあゆみ／白川小学校のれきし</v>
      </c>
      <c r="Q1891" s="47" t="str">
        <f>HYPERLINK("http:/kameyamarekihaku.jp/sisi/tuusiHP_next/tuusi-index.html#kingendai0904","市史通史編 近代・現代第9章第4節")</f>
        <v>市史通史編 近代・現代第9章第4節</v>
      </c>
      <c r="R1891" s="120" t="s">
        <v>2227</v>
      </c>
    </row>
    <row r="1892" spans="1:18" s="6" customFormat="1" ht="28.15" customHeight="1" x14ac:dyDescent="0.15">
      <c r="A1892" s="142" t="s">
        <v>4229</v>
      </c>
      <c r="B1892" s="142">
        <v>21</v>
      </c>
      <c r="C1892" s="175" t="s">
        <v>4632</v>
      </c>
      <c r="D1892" s="175">
        <v>2009</v>
      </c>
      <c r="E1892" s="144" t="s">
        <v>20</v>
      </c>
      <c r="F1892" s="175"/>
      <c r="G1892" s="196" t="s">
        <v>4637</v>
      </c>
      <c r="H1892" s="120"/>
      <c r="I1892" s="175"/>
      <c r="J1892" s="120"/>
      <c r="K1892" s="120" t="s">
        <v>4638</v>
      </c>
      <c r="L1892" s="120"/>
      <c r="M1892" s="120"/>
      <c r="N1892" s="12" t="s">
        <v>4639</v>
      </c>
      <c r="O1892" s="12" t="s">
        <v>4640</v>
      </c>
      <c r="P1892" s="13" t="str">
        <f t="shared" si="30"/>
        <v>亀山市の名誉市民／新亀山市の名誉市民</v>
      </c>
      <c r="Q1892" s="192"/>
      <c r="R1892" s="120"/>
    </row>
    <row r="1893" spans="1:18" s="6" customFormat="1" ht="15" customHeight="1" x14ac:dyDescent="0.15">
      <c r="A1893" s="142" t="s">
        <v>4229</v>
      </c>
      <c r="B1893" s="142">
        <v>22</v>
      </c>
      <c r="C1893" s="175" t="s">
        <v>4641</v>
      </c>
      <c r="D1893" s="175">
        <v>2010</v>
      </c>
      <c r="E1893" s="144" t="s">
        <v>20</v>
      </c>
      <c r="F1893" s="175"/>
      <c r="G1893" s="175" t="s">
        <v>4642</v>
      </c>
      <c r="H1893" s="120" t="s">
        <v>199</v>
      </c>
      <c r="I1893" s="175" t="s">
        <v>2689</v>
      </c>
      <c r="J1893" s="120" t="s">
        <v>4643</v>
      </c>
      <c r="K1893" s="120"/>
      <c r="L1893" s="120"/>
      <c r="M1893" s="120"/>
      <c r="N1893" s="12"/>
      <c r="O1893" s="12" t="e">
        <v>#VALUE!</v>
      </c>
      <c r="P1893" s="13" t="str">
        <f t="shared" si="30"/>
        <v/>
      </c>
      <c r="Q1893" s="192"/>
      <c r="R1893" s="120"/>
    </row>
    <row r="1894" spans="1:18" s="6" customFormat="1" ht="28.5" customHeight="1" x14ac:dyDescent="0.15">
      <c r="A1894" s="142" t="s">
        <v>4229</v>
      </c>
      <c r="B1894" s="142">
        <v>22</v>
      </c>
      <c r="C1894" s="175" t="s">
        <v>4641</v>
      </c>
      <c r="D1894" s="175">
        <v>2010</v>
      </c>
      <c r="E1894" s="144" t="s">
        <v>20</v>
      </c>
      <c r="F1894" s="175"/>
      <c r="G1894" s="175" t="s">
        <v>4644</v>
      </c>
      <c r="H1894" s="120"/>
      <c r="I1894" s="175"/>
      <c r="J1894" s="120"/>
      <c r="K1894" s="120"/>
      <c r="L1894" s="120"/>
      <c r="M1894" s="120"/>
      <c r="N1894" s="12"/>
      <c r="O1894" s="12" t="e">
        <v>#VALUE!</v>
      </c>
      <c r="P1894" s="13" t="str">
        <f t="shared" si="30"/>
        <v/>
      </c>
      <c r="Q1894" s="192"/>
      <c r="R1894" s="120"/>
    </row>
    <row r="1895" spans="1:18" s="6" customFormat="1" ht="15" customHeight="1" x14ac:dyDescent="0.15">
      <c r="A1895" s="142" t="s">
        <v>4229</v>
      </c>
      <c r="B1895" s="142">
        <v>21</v>
      </c>
      <c r="C1895" s="143" t="s">
        <v>4645</v>
      </c>
      <c r="D1895" s="143">
        <v>2011</v>
      </c>
      <c r="E1895" s="180" t="s">
        <v>499</v>
      </c>
      <c r="F1895" s="175" t="s">
        <v>4646</v>
      </c>
      <c r="G1895" s="175"/>
      <c r="H1895" s="120"/>
      <c r="I1895" s="175"/>
      <c r="J1895" s="120"/>
      <c r="K1895" s="120"/>
      <c r="L1895" s="120"/>
      <c r="M1895" s="120"/>
      <c r="N1895" s="12"/>
      <c r="O1895" s="12" t="e">
        <v>#VALUE!</v>
      </c>
      <c r="P1895" s="13" t="str">
        <f t="shared" si="30"/>
        <v/>
      </c>
      <c r="Q1895" s="192"/>
      <c r="R1895" s="120"/>
    </row>
    <row r="1896" spans="1:18" s="139" customFormat="1" ht="15" customHeight="1" x14ac:dyDescent="0.15">
      <c r="A1896" s="142" t="s">
        <v>4229</v>
      </c>
      <c r="B1896" s="142">
        <v>21</v>
      </c>
      <c r="C1896" s="143" t="s">
        <v>4645</v>
      </c>
      <c r="D1896" s="143">
        <v>2011</v>
      </c>
      <c r="E1896" s="180" t="s">
        <v>499</v>
      </c>
      <c r="F1896" s="143" t="s">
        <v>4647</v>
      </c>
      <c r="G1896" s="143"/>
      <c r="H1896" s="142"/>
      <c r="I1896" s="143"/>
      <c r="J1896" s="142"/>
      <c r="K1896" s="142"/>
      <c r="L1896" s="142"/>
      <c r="M1896" s="142"/>
      <c r="N1896" s="12"/>
      <c r="O1896" s="12" t="e">
        <v>#VALUE!</v>
      </c>
      <c r="P1896" s="13" t="str">
        <f t="shared" si="30"/>
        <v/>
      </c>
      <c r="Q1896" s="158"/>
      <c r="R1896" s="142"/>
    </row>
    <row r="1897" spans="1:18" s="139" customFormat="1" ht="45.75" customHeight="1" x14ac:dyDescent="0.15">
      <c r="A1897" s="142" t="s">
        <v>4229</v>
      </c>
      <c r="B1897" s="142">
        <v>21</v>
      </c>
      <c r="C1897" s="143" t="s">
        <v>4645</v>
      </c>
      <c r="D1897" s="143">
        <v>2011</v>
      </c>
      <c r="E1897" s="144" t="s">
        <v>20</v>
      </c>
      <c r="F1897" s="143"/>
      <c r="G1897" s="143" t="s">
        <v>4648</v>
      </c>
      <c r="H1897" s="142"/>
      <c r="I1897" s="143"/>
      <c r="J1897" s="142"/>
      <c r="K1897" s="142"/>
      <c r="L1897" s="142"/>
      <c r="M1897" s="142"/>
      <c r="N1897" s="12" t="s">
        <v>4649</v>
      </c>
      <c r="O1897" s="12" t="s">
        <v>4650</v>
      </c>
      <c r="P1897" s="13" t="str">
        <f t="shared" si="30"/>
        <v>日本の歴史の中の亀山／現代の亀山／交通と通信／携帯電話やインターネットの普及</v>
      </c>
      <c r="Q1897" s="158"/>
      <c r="R1897" s="142"/>
    </row>
    <row r="1898" spans="1:18" s="139" customFormat="1" ht="28.5" customHeight="1" x14ac:dyDescent="0.15">
      <c r="A1898" s="142" t="s">
        <v>4229</v>
      </c>
      <c r="B1898" s="142">
        <v>21</v>
      </c>
      <c r="C1898" s="143" t="s">
        <v>4645</v>
      </c>
      <c r="D1898" s="143">
        <v>2011</v>
      </c>
      <c r="E1898" s="144" t="s">
        <v>34</v>
      </c>
      <c r="F1898" s="143"/>
      <c r="G1898" s="143" t="s">
        <v>4651</v>
      </c>
      <c r="H1898" s="142" t="s">
        <v>464</v>
      </c>
      <c r="I1898" s="143" t="s">
        <v>394</v>
      </c>
      <c r="J1898" s="142" t="s">
        <v>4652</v>
      </c>
      <c r="K1898" s="142"/>
      <c r="L1898" s="142"/>
      <c r="M1898" s="142" t="s">
        <v>4652</v>
      </c>
      <c r="N1898" s="12"/>
      <c r="O1898" s="12" t="e">
        <v>#VALUE!</v>
      </c>
      <c r="P1898" s="13" t="str">
        <f t="shared" si="30"/>
        <v/>
      </c>
      <c r="Q1898" s="158"/>
      <c r="R1898" s="142"/>
    </row>
    <row r="1899" spans="1:18" s="139" customFormat="1" ht="15" customHeight="1" x14ac:dyDescent="0.15">
      <c r="A1899" s="142" t="s">
        <v>4229</v>
      </c>
      <c r="B1899" s="142">
        <v>21</v>
      </c>
      <c r="C1899" s="143" t="s">
        <v>4653</v>
      </c>
      <c r="D1899" s="143">
        <v>2012</v>
      </c>
      <c r="E1899" s="144" t="s">
        <v>20</v>
      </c>
      <c r="F1899" s="143"/>
      <c r="G1899" s="143" t="s">
        <v>4654</v>
      </c>
      <c r="H1899" s="142" t="s">
        <v>2191</v>
      </c>
      <c r="I1899" s="143" t="s">
        <v>3032</v>
      </c>
      <c r="J1899" s="142" t="s">
        <v>4655</v>
      </c>
      <c r="K1899" s="142"/>
      <c r="L1899" s="142"/>
      <c r="M1899" s="142"/>
      <c r="N1899" s="12"/>
      <c r="O1899" s="12" t="e">
        <v>#VALUE!</v>
      </c>
      <c r="P1899" s="13" t="str">
        <f t="shared" si="30"/>
        <v/>
      </c>
      <c r="Q1899" s="158"/>
      <c r="R1899" s="142"/>
    </row>
    <row r="1900" spans="1:18" s="139" customFormat="1" ht="15" customHeight="1" x14ac:dyDescent="0.15">
      <c r="A1900" s="142" t="s">
        <v>4229</v>
      </c>
      <c r="B1900" s="142">
        <v>21</v>
      </c>
      <c r="C1900" s="143" t="s">
        <v>4653</v>
      </c>
      <c r="D1900" s="143">
        <v>2012</v>
      </c>
      <c r="E1900" s="144" t="s">
        <v>20</v>
      </c>
      <c r="F1900" s="143"/>
      <c r="G1900" s="143" t="s">
        <v>4656</v>
      </c>
      <c r="H1900" s="142" t="s">
        <v>464</v>
      </c>
      <c r="I1900" s="143" t="s">
        <v>1157</v>
      </c>
      <c r="J1900" s="142" t="s">
        <v>4657</v>
      </c>
      <c r="K1900" s="142"/>
      <c r="L1900" s="142"/>
      <c r="M1900" s="142"/>
      <c r="N1900" s="12" t="s">
        <v>4658</v>
      </c>
      <c r="O1900" s="12" t="s">
        <v>774</v>
      </c>
      <c r="P1900" s="13" t="str">
        <f t="shared" si="30"/>
        <v>亀山のいいとこさがし／建物</v>
      </c>
      <c r="Q1900" s="158"/>
      <c r="R1900" s="142"/>
    </row>
    <row r="1901" spans="1:18" s="139" customFormat="1" ht="45" customHeight="1" x14ac:dyDescent="0.15">
      <c r="A1901" s="145" t="s">
        <v>4229</v>
      </c>
      <c r="B1901" s="145">
        <v>21</v>
      </c>
      <c r="C1901" s="146" t="s">
        <v>4659</v>
      </c>
      <c r="D1901" s="146">
        <v>2013</v>
      </c>
      <c r="E1901" s="147" t="s">
        <v>34</v>
      </c>
      <c r="F1901" s="146"/>
      <c r="G1901" s="146" t="s">
        <v>4660</v>
      </c>
      <c r="H1901" s="145" t="s">
        <v>199</v>
      </c>
      <c r="I1901" s="146" t="s">
        <v>1443</v>
      </c>
      <c r="J1901" s="145"/>
      <c r="K1901" s="145"/>
      <c r="L1901" s="71" t="str">
        <f>HYPERLINK("http://kameyamarekihaku.jp/rekisi-hiroba/tyu-sei_monjo/web24_cyuseimonjyo/web24_cyuseimonjyo_indx.html","波多野文書")</f>
        <v>波多野文書</v>
      </c>
      <c r="M1901" s="145"/>
      <c r="N1901" s="32" t="s">
        <v>4661</v>
      </c>
      <c r="O1901" s="32" t="s">
        <v>4662</v>
      </c>
      <c r="P1901" s="33" t="str">
        <f t="shared" si="30"/>
        <v>日本の歴史の中の亀山／中世の亀山／東アジアとのかかわり／南北朝の動乱と亀山／波多野文書</v>
      </c>
      <c r="Q1901" s="48" t="str">
        <f>HYPERLINK("http://kameyamarekihaku.jp/rekisi-hiroba/tyu-sei_monjo/web24_cyuseimonjyo/web24_cyuseimonjyo_indx.html","歴史広場　亀山市内に伝わる中世文書")</f>
        <v>歴史広場　亀山市内に伝わる中世文書</v>
      </c>
      <c r="R1901" s="145" t="s">
        <v>4663</v>
      </c>
    </row>
    <row r="1902" spans="1:18" s="139" customFormat="1" ht="30" customHeight="1" x14ac:dyDescent="0.15">
      <c r="A1902" s="151"/>
      <c r="B1902" s="151"/>
      <c r="C1902" s="152"/>
      <c r="D1902" s="152"/>
      <c r="E1902" s="153"/>
      <c r="F1902" s="152"/>
      <c r="G1902" s="152"/>
      <c r="H1902" s="151"/>
      <c r="I1902" s="152"/>
      <c r="J1902" s="151"/>
      <c r="K1902" s="151"/>
      <c r="L1902" s="102"/>
      <c r="M1902" s="151"/>
      <c r="N1902" s="29" t="s">
        <v>4664</v>
      </c>
      <c r="O1902" s="29" t="s">
        <v>4662</v>
      </c>
      <c r="P1902" s="30" t="str">
        <f t="shared" si="30"/>
        <v>亀山のいいとこさがし／手紙や本／手紙や記録など／波多野文書</v>
      </c>
      <c r="Q1902" s="46"/>
      <c r="R1902" s="151"/>
    </row>
    <row r="1903" spans="1:18" s="139" customFormat="1" ht="30" customHeight="1" x14ac:dyDescent="0.15">
      <c r="A1903" s="136" t="s">
        <v>4229</v>
      </c>
      <c r="B1903" s="136">
        <v>21</v>
      </c>
      <c r="C1903" s="137" t="s">
        <v>4659</v>
      </c>
      <c r="D1903" s="137">
        <v>2013</v>
      </c>
      <c r="E1903" s="138" t="s">
        <v>34</v>
      </c>
      <c r="F1903" s="137"/>
      <c r="G1903" s="137" t="s">
        <v>4665</v>
      </c>
      <c r="H1903" s="136" t="s">
        <v>464</v>
      </c>
      <c r="I1903" s="137" t="s">
        <v>1157</v>
      </c>
      <c r="J1903" s="136" t="s">
        <v>4666</v>
      </c>
      <c r="K1903" s="136"/>
      <c r="L1903" s="136" t="s">
        <v>4667</v>
      </c>
      <c r="M1903" s="136" t="s">
        <v>4666</v>
      </c>
      <c r="N1903" s="19" t="s">
        <v>4668</v>
      </c>
      <c r="O1903" s="19" t="s">
        <v>2070</v>
      </c>
      <c r="P1903" s="20" t="str">
        <f t="shared" si="30"/>
        <v>亀山城と宿場／亀山城のつくり／櫓／多門櫓</v>
      </c>
      <c r="Q1903" s="28" t="str">
        <f>HYPERLINK("http://kameyamarekihaku.jp/raikan_demae/140620_nisi_syo.html","西小6年地域素材の教材化実践例「亀山の史跡を知ろう」")</f>
        <v>西小6年地域素材の教材化実践例「亀山の史跡を知ろう」</v>
      </c>
      <c r="R1903" s="136"/>
    </row>
    <row r="1904" spans="1:18" s="139" customFormat="1" ht="30" customHeight="1" x14ac:dyDescent="0.15">
      <c r="A1904" s="151"/>
      <c r="B1904" s="151"/>
      <c r="C1904" s="152"/>
      <c r="D1904" s="152"/>
      <c r="E1904" s="153"/>
      <c r="F1904" s="152"/>
      <c r="G1904" s="152"/>
      <c r="H1904" s="151"/>
      <c r="I1904" s="152"/>
      <c r="J1904" s="151"/>
      <c r="K1904" s="151"/>
      <c r="L1904" s="151"/>
      <c r="M1904" s="151"/>
      <c r="N1904" s="29" t="s">
        <v>4669</v>
      </c>
      <c r="O1904" s="29" t="s">
        <v>774</v>
      </c>
      <c r="P1904" s="30" t="str">
        <f t="shared" si="30"/>
        <v>亀山のいいとこさがし／建物</v>
      </c>
      <c r="Q1904" s="69"/>
      <c r="R1904" s="151"/>
    </row>
    <row r="1905" spans="1:18" s="139" customFormat="1" x14ac:dyDescent="0.15">
      <c r="A1905" s="208"/>
      <c r="B1905" s="208"/>
      <c r="C1905" s="149"/>
      <c r="D1905" s="149"/>
      <c r="E1905" s="276"/>
      <c r="F1905" s="149"/>
      <c r="G1905" s="149"/>
      <c r="I1905" s="238"/>
      <c r="N1905" s="277"/>
      <c r="O1905" s="277"/>
      <c r="P1905" s="277"/>
      <c r="Q1905" s="278"/>
    </row>
    <row r="1906" spans="1:18" s="139" customFormat="1" ht="16.5" customHeight="1" x14ac:dyDescent="0.15">
      <c r="A1906" s="208"/>
      <c r="B1906" s="208"/>
      <c r="C1906" s="149"/>
      <c r="D1906" s="149"/>
      <c r="E1906" s="276"/>
      <c r="F1906" s="385" t="s">
        <v>4670</v>
      </c>
      <c r="G1906" s="385"/>
      <c r="H1906" s="385"/>
      <c r="I1906" s="385"/>
      <c r="J1906" s="385"/>
      <c r="K1906" s="385"/>
      <c r="L1906" s="385"/>
      <c r="M1906" s="385"/>
      <c r="N1906" s="385"/>
      <c r="O1906" s="385"/>
      <c r="P1906" s="385"/>
      <c r="Q1906" s="385"/>
      <c r="R1906" s="385"/>
    </row>
    <row r="1907" spans="1:18" s="139" customFormat="1" x14ac:dyDescent="0.15">
      <c r="A1907" s="208"/>
      <c r="B1907" s="208"/>
      <c r="C1907" s="149"/>
      <c r="D1907" s="149"/>
      <c r="E1907" s="276"/>
      <c r="F1907" s="149"/>
      <c r="G1907" s="149"/>
      <c r="I1907" s="238"/>
      <c r="N1907" s="277"/>
      <c r="O1907" s="277"/>
      <c r="P1907" s="277"/>
      <c r="Q1907" s="278"/>
    </row>
    <row r="1908" spans="1:18" s="139" customFormat="1" x14ac:dyDescent="0.15">
      <c r="A1908" s="208"/>
      <c r="B1908" s="208"/>
      <c r="C1908" s="149"/>
      <c r="D1908" s="149"/>
      <c r="E1908" s="276"/>
      <c r="F1908" s="149"/>
      <c r="G1908" s="149"/>
      <c r="I1908" s="238"/>
      <c r="N1908" s="277"/>
      <c r="O1908" s="277"/>
      <c r="P1908" s="277"/>
      <c r="Q1908" s="278"/>
    </row>
    <row r="1909" spans="1:18" s="139" customFormat="1" x14ac:dyDescent="0.15">
      <c r="A1909" s="208"/>
      <c r="B1909" s="208"/>
      <c r="C1909" s="149"/>
      <c r="D1909" s="149"/>
      <c r="E1909" s="276"/>
      <c r="F1909" s="149"/>
      <c r="G1909" s="149"/>
      <c r="I1909" s="238"/>
      <c r="N1909" s="277"/>
      <c r="O1909" s="277"/>
      <c r="P1909" s="277"/>
      <c r="Q1909" s="278"/>
    </row>
    <row r="1910" spans="1:18" s="139" customFormat="1" x14ac:dyDescent="0.15">
      <c r="A1910" s="208"/>
      <c r="B1910" s="208"/>
      <c r="C1910" s="149"/>
      <c r="D1910" s="149"/>
      <c r="E1910" s="276"/>
      <c r="F1910" s="149" t="s">
        <v>4671</v>
      </c>
      <c r="G1910" s="149"/>
      <c r="I1910" s="238"/>
      <c r="N1910" s="277"/>
      <c r="O1910" s="277"/>
      <c r="P1910" s="277"/>
      <c r="Q1910" s="278"/>
    </row>
    <row r="1911" spans="1:18" s="139" customFormat="1" ht="130.5" customHeight="1" x14ac:dyDescent="0.15">
      <c r="A1911" s="208"/>
      <c r="B1911" s="208"/>
      <c r="C1911" s="149"/>
      <c r="D1911" s="149"/>
      <c r="E1911" s="276"/>
      <c r="F1911" s="149" t="s">
        <v>4672</v>
      </c>
      <c r="G1911" s="149"/>
      <c r="I1911" s="238"/>
      <c r="N1911" s="277"/>
      <c r="O1911" s="277"/>
      <c r="P1911" s="277"/>
      <c r="Q1911" s="278"/>
    </row>
    <row r="1912" spans="1:18" s="139" customFormat="1" x14ac:dyDescent="0.15">
      <c r="A1912" s="208"/>
      <c r="B1912" s="208"/>
      <c r="C1912" s="149"/>
      <c r="D1912" s="149"/>
      <c r="E1912" s="276"/>
      <c r="F1912" s="149"/>
      <c r="G1912" s="149"/>
      <c r="I1912" s="238"/>
      <c r="N1912" s="277"/>
      <c r="O1912" s="277"/>
      <c r="P1912" s="277"/>
      <c r="Q1912" s="278"/>
    </row>
    <row r="1913" spans="1:18" s="139" customFormat="1" x14ac:dyDescent="0.15">
      <c r="A1913" s="208"/>
      <c r="B1913" s="208"/>
      <c r="C1913" s="149"/>
      <c r="D1913" s="149"/>
      <c r="E1913" s="276"/>
      <c r="F1913" s="149"/>
      <c r="G1913" s="149"/>
      <c r="I1913" s="238"/>
      <c r="N1913" s="277"/>
      <c r="O1913" s="277"/>
      <c r="P1913" s="277"/>
      <c r="Q1913" s="278"/>
    </row>
    <row r="1914" spans="1:18" s="139" customFormat="1" x14ac:dyDescent="0.15">
      <c r="A1914" s="208"/>
      <c r="B1914" s="208"/>
      <c r="C1914" s="149"/>
      <c r="D1914" s="149"/>
      <c r="E1914" s="276"/>
      <c r="F1914" s="149"/>
      <c r="G1914" s="149"/>
      <c r="I1914" s="238"/>
      <c r="N1914" s="277"/>
      <c r="O1914" s="277"/>
      <c r="P1914" s="277"/>
      <c r="Q1914" s="278"/>
    </row>
    <row r="1915" spans="1:18" s="139" customFormat="1" x14ac:dyDescent="0.15">
      <c r="A1915" s="208"/>
      <c r="B1915" s="208"/>
      <c r="C1915" s="149"/>
      <c r="D1915" s="149"/>
      <c r="E1915" s="276"/>
      <c r="F1915" s="149"/>
      <c r="G1915" s="149"/>
      <c r="I1915" s="238"/>
      <c r="N1915" s="277"/>
      <c r="O1915" s="277"/>
      <c r="P1915" s="277"/>
      <c r="Q1915" s="278"/>
    </row>
    <row r="1916" spans="1:18" s="139" customFormat="1" x14ac:dyDescent="0.15">
      <c r="A1916" s="208"/>
      <c r="B1916" s="208"/>
      <c r="C1916" s="149"/>
      <c r="D1916" s="149"/>
      <c r="E1916" s="276"/>
      <c r="F1916" s="149"/>
      <c r="G1916" s="149"/>
      <c r="I1916" s="238"/>
      <c r="N1916" s="277"/>
      <c r="O1916" s="277"/>
      <c r="P1916" s="277"/>
      <c r="Q1916" s="278"/>
    </row>
    <row r="1917" spans="1:18" s="139" customFormat="1" x14ac:dyDescent="0.15">
      <c r="A1917" s="208"/>
      <c r="B1917" s="208"/>
      <c r="C1917" s="149"/>
      <c r="D1917" s="149"/>
      <c r="E1917" s="276"/>
      <c r="F1917" s="149"/>
      <c r="G1917" s="149"/>
      <c r="I1917" s="238"/>
      <c r="N1917" s="277"/>
      <c r="O1917" s="277"/>
      <c r="P1917" s="277"/>
      <c r="Q1917" s="278"/>
    </row>
    <row r="1918" spans="1:18" s="139" customFormat="1" x14ac:dyDescent="0.15">
      <c r="A1918" s="208"/>
      <c r="B1918" s="208"/>
      <c r="C1918" s="149"/>
      <c r="D1918" s="149"/>
      <c r="E1918" s="276"/>
      <c r="F1918" s="149"/>
      <c r="G1918" s="149"/>
      <c r="I1918" s="238"/>
      <c r="N1918" s="277"/>
      <c r="O1918" s="277"/>
      <c r="P1918" s="277"/>
      <c r="Q1918" s="278"/>
    </row>
    <row r="1919" spans="1:18" s="139" customFormat="1" x14ac:dyDescent="0.15">
      <c r="A1919" s="208"/>
      <c r="B1919" s="208"/>
      <c r="C1919" s="149"/>
      <c r="D1919" s="149"/>
      <c r="E1919" s="276"/>
      <c r="F1919" s="149"/>
      <c r="G1919" s="149"/>
      <c r="I1919" s="238"/>
      <c r="N1919" s="277"/>
      <c r="O1919" s="277"/>
      <c r="P1919" s="277"/>
      <c r="Q1919" s="278"/>
    </row>
    <row r="1920" spans="1:18" s="139" customFormat="1" x14ac:dyDescent="0.15">
      <c r="A1920" s="208"/>
      <c r="B1920" s="208"/>
      <c r="C1920" s="149"/>
      <c r="D1920" s="149"/>
      <c r="E1920" s="276"/>
      <c r="F1920" s="149"/>
      <c r="G1920" s="149"/>
      <c r="I1920" s="238"/>
      <c r="N1920" s="277"/>
      <c r="O1920" s="277"/>
      <c r="P1920" s="277"/>
      <c r="Q1920" s="278"/>
    </row>
    <row r="1921" spans="1:17" s="139" customFormat="1" x14ac:dyDescent="0.15">
      <c r="A1921" s="208"/>
      <c r="B1921" s="208"/>
      <c r="C1921" s="149"/>
      <c r="D1921" s="149"/>
      <c r="E1921" s="276"/>
      <c r="F1921" s="149"/>
      <c r="G1921" s="149"/>
      <c r="I1921" s="238"/>
      <c r="N1921" s="277"/>
      <c r="O1921" s="277"/>
      <c r="P1921" s="277"/>
      <c r="Q1921" s="278"/>
    </row>
    <row r="1922" spans="1:17" s="139" customFormat="1" x14ac:dyDescent="0.15">
      <c r="A1922" s="208"/>
      <c r="B1922" s="208"/>
      <c r="C1922" s="149"/>
      <c r="D1922" s="149"/>
      <c r="E1922" s="276"/>
      <c r="F1922" s="149"/>
      <c r="G1922" s="149"/>
      <c r="I1922" s="238"/>
      <c r="N1922" s="277"/>
      <c r="O1922" s="277"/>
      <c r="P1922" s="277"/>
      <c r="Q1922" s="278"/>
    </row>
    <row r="1923" spans="1:17" s="139" customFormat="1" x14ac:dyDescent="0.15">
      <c r="A1923" s="208"/>
      <c r="B1923" s="208"/>
      <c r="C1923" s="149"/>
      <c r="D1923" s="149"/>
      <c r="E1923" s="276"/>
      <c r="F1923" s="149"/>
      <c r="G1923" s="149"/>
      <c r="I1923" s="238"/>
      <c r="N1923" s="277"/>
      <c r="O1923" s="277"/>
      <c r="P1923" s="277"/>
      <c r="Q1923" s="278"/>
    </row>
    <row r="1924" spans="1:17" s="139" customFormat="1" x14ac:dyDescent="0.15">
      <c r="A1924" s="208"/>
      <c r="B1924" s="208"/>
      <c r="C1924" s="149"/>
      <c r="D1924" s="149"/>
      <c r="E1924" s="276"/>
      <c r="F1924" s="149"/>
      <c r="G1924" s="149"/>
      <c r="I1924" s="238"/>
      <c r="N1924" s="277"/>
      <c r="O1924" s="277"/>
      <c r="P1924" s="277"/>
      <c r="Q1924" s="278"/>
    </row>
    <row r="1925" spans="1:17" s="139" customFormat="1" x14ac:dyDescent="0.15">
      <c r="A1925" s="208"/>
      <c r="B1925" s="208"/>
      <c r="C1925" s="149"/>
      <c r="D1925" s="149"/>
      <c r="E1925" s="276"/>
      <c r="F1925" s="149"/>
      <c r="G1925" s="149"/>
      <c r="I1925" s="238"/>
      <c r="N1925" s="277"/>
      <c r="O1925" s="277"/>
      <c r="P1925" s="277"/>
      <c r="Q1925" s="278"/>
    </row>
    <row r="1926" spans="1:17" s="139" customFormat="1" x14ac:dyDescent="0.15">
      <c r="A1926" s="208"/>
      <c r="B1926" s="208"/>
      <c r="C1926" s="149"/>
      <c r="D1926" s="149"/>
      <c r="E1926" s="276"/>
      <c r="F1926" s="149"/>
      <c r="G1926" s="149"/>
      <c r="I1926" s="238"/>
      <c r="N1926" s="277"/>
      <c r="O1926" s="277"/>
      <c r="P1926" s="277"/>
      <c r="Q1926" s="278"/>
    </row>
    <row r="1927" spans="1:17" s="139" customFormat="1" x14ac:dyDescent="0.15">
      <c r="A1927" s="208"/>
      <c r="B1927" s="208"/>
      <c r="C1927" s="149"/>
      <c r="D1927" s="149"/>
      <c r="E1927" s="276"/>
      <c r="F1927" s="149"/>
      <c r="G1927" s="149"/>
      <c r="I1927" s="238"/>
      <c r="N1927" s="277"/>
      <c r="O1927" s="277"/>
      <c r="P1927" s="277"/>
      <c r="Q1927" s="278"/>
    </row>
  </sheetData>
  <sheetProtection password="E781" sheet="1" objects="1" scenarios="1"/>
  <mergeCells count="564">
    <mergeCell ref="F1885:F1886"/>
    <mergeCell ref="Q1885:Q1886"/>
    <mergeCell ref="F1906:R1906"/>
    <mergeCell ref="G1795:G1796"/>
    <mergeCell ref="R1795:R1796"/>
    <mergeCell ref="Q1825:Q1826"/>
    <mergeCell ref="G1853:G1854"/>
    <mergeCell ref="N1877:N1878"/>
    <mergeCell ref="O1877:O1878"/>
    <mergeCell ref="P1877:P1878"/>
    <mergeCell ref="R1877:R1878"/>
    <mergeCell ref="P1770:P1771"/>
    <mergeCell ref="R1770:R1771"/>
    <mergeCell ref="N1786:N1788"/>
    <mergeCell ref="O1786:O1788"/>
    <mergeCell ref="P1786:P1788"/>
    <mergeCell ref="R1786:R1787"/>
    <mergeCell ref="L1731:L1732"/>
    <mergeCell ref="G1746:G1748"/>
    <mergeCell ref="N1770:N1771"/>
    <mergeCell ref="O1770:O1771"/>
    <mergeCell ref="G1687:G1688"/>
    <mergeCell ref="J1687:J1688"/>
    <mergeCell ref="R1687:R1688"/>
    <mergeCell ref="G1710:G1711"/>
    <mergeCell ref="R1710:R1711"/>
    <mergeCell ref="G1714:G1715"/>
    <mergeCell ref="N1714:N1715"/>
    <mergeCell ref="O1714:O1715"/>
    <mergeCell ref="P1714:P1715"/>
    <mergeCell ref="G1662:G1663"/>
    <mergeCell ref="R1664:R1666"/>
    <mergeCell ref="G1671:G1672"/>
    <mergeCell ref="N1671:N1672"/>
    <mergeCell ref="O1671:O1672"/>
    <mergeCell ref="P1671:P1672"/>
    <mergeCell ref="R1671:R1672"/>
    <mergeCell ref="R1619:R1620"/>
    <mergeCell ref="G1627:G1628"/>
    <mergeCell ref="G1659:G1661"/>
    <mergeCell ref="N1659:N1660"/>
    <mergeCell ref="O1659:O1660"/>
    <mergeCell ref="P1659:P1660"/>
    <mergeCell ref="R1659:R1660"/>
    <mergeCell ref="G1619:G1620"/>
    <mergeCell ref="N1619:N1620"/>
    <mergeCell ref="O1619:O1620"/>
    <mergeCell ref="P1619:P1620"/>
    <mergeCell ref="G1552:G1553"/>
    <mergeCell ref="R1552:R1553"/>
    <mergeCell ref="G1565:G1566"/>
    <mergeCell ref="Q1565:Q1566"/>
    <mergeCell ref="G1577:G1578"/>
    <mergeCell ref="G1600:G1602"/>
    <mergeCell ref="I1600:I1602"/>
    <mergeCell ref="R1600:R1602"/>
    <mergeCell ref="R1447:R1448"/>
    <mergeCell ref="R1530:R1531"/>
    <mergeCell ref="R1535:R1536"/>
    <mergeCell ref="G1542:G1543"/>
    <mergeCell ref="N1542:N1543"/>
    <mergeCell ref="O1542:O1543"/>
    <mergeCell ref="P1542:P1543"/>
    <mergeCell ref="R1542:R1544"/>
    <mergeCell ref="R1382:R1385"/>
    <mergeCell ref="Q1383:Q1384"/>
    <mergeCell ref="G1395:G1396"/>
    <mergeCell ref="G1423:G1424"/>
    <mergeCell ref="G1437:G1438"/>
    <mergeCell ref="R1437:R1439"/>
    <mergeCell ref="G1167:G1168"/>
    <mergeCell ref="R1167:R1168"/>
    <mergeCell ref="G1189:G1190"/>
    <mergeCell ref="G1223:G1224"/>
    <mergeCell ref="G1382:G1385"/>
    <mergeCell ref="N1382:N1384"/>
    <mergeCell ref="O1382:O1384"/>
    <mergeCell ref="P1382:P1384"/>
    <mergeCell ref="R1068:R1069"/>
    <mergeCell ref="R1098:R1099"/>
    <mergeCell ref="G1103:G1104"/>
    <mergeCell ref="R1103:R1104"/>
    <mergeCell ref="R1116:R1117"/>
    <mergeCell ref="G1136:G1137"/>
    <mergeCell ref="R1136:R1137"/>
    <mergeCell ref="P1054:P1055"/>
    <mergeCell ref="N1066:N1067"/>
    <mergeCell ref="O1066:O1067"/>
    <mergeCell ref="P1066:P1067"/>
    <mergeCell ref="G993:G994"/>
    <mergeCell ref="G1002:G1004"/>
    <mergeCell ref="R1002:R1003"/>
    <mergeCell ref="G1025:G1026"/>
    <mergeCell ref="R1025:R1026"/>
    <mergeCell ref="R1053:R1055"/>
    <mergeCell ref="N1054:N1055"/>
    <mergeCell ref="O1054:O1055"/>
    <mergeCell ref="O969:O970"/>
    <mergeCell ref="P969:P970"/>
    <mergeCell ref="R969:R971"/>
    <mergeCell ref="N972:N973"/>
    <mergeCell ref="O972:O973"/>
    <mergeCell ref="P972:P973"/>
    <mergeCell ref="Q972:Q973"/>
    <mergeCell ref="R972:R975"/>
    <mergeCell ref="Q959:Q960"/>
    <mergeCell ref="R959:R963"/>
    <mergeCell ref="B969:B971"/>
    <mergeCell ref="C969:C971"/>
    <mergeCell ref="D969:D971"/>
    <mergeCell ref="E969:E971"/>
    <mergeCell ref="G969:G971"/>
    <mergeCell ref="N969:N970"/>
    <mergeCell ref="P957:P958"/>
    <mergeCell ref="G959:G963"/>
    <mergeCell ref="L959:L960"/>
    <mergeCell ref="N959:N961"/>
    <mergeCell ref="O959:O961"/>
    <mergeCell ref="P959:P961"/>
    <mergeCell ref="Q931:Q932"/>
    <mergeCell ref="Q933:Q934"/>
    <mergeCell ref="G941:G942"/>
    <mergeCell ref="J941:J942"/>
    <mergeCell ref="R941:R942"/>
    <mergeCell ref="G957:G958"/>
    <mergeCell ref="N957:N958"/>
    <mergeCell ref="O957:O958"/>
    <mergeCell ref="G912:G913"/>
    <mergeCell ref="N912:N913"/>
    <mergeCell ref="O912:O913"/>
    <mergeCell ref="P912:P913"/>
    <mergeCell ref="N887:N888"/>
    <mergeCell ref="O887:O888"/>
    <mergeCell ref="P887:P888"/>
    <mergeCell ref="R887:R889"/>
    <mergeCell ref="Q796:Q797"/>
    <mergeCell ref="R796:R797"/>
    <mergeCell ref="G834:G835"/>
    <mergeCell ref="R834:R835"/>
    <mergeCell ref="M843:M844"/>
    <mergeCell ref="Q863:Q864"/>
    <mergeCell ref="G796:G797"/>
    <mergeCell ref="N796:N797"/>
    <mergeCell ref="O796:O797"/>
    <mergeCell ref="P796:P797"/>
    <mergeCell ref="R789:R792"/>
    <mergeCell ref="G794:G795"/>
    <mergeCell ref="N794:N795"/>
    <mergeCell ref="O794:O795"/>
    <mergeCell ref="P794:P795"/>
    <mergeCell ref="R794:R795"/>
    <mergeCell ref="O772:O773"/>
    <mergeCell ref="P772:P773"/>
    <mergeCell ref="Q772:Q773"/>
    <mergeCell ref="R772:R773"/>
    <mergeCell ref="G789:G792"/>
    <mergeCell ref="N789:N790"/>
    <mergeCell ref="O789:O790"/>
    <mergeCell ref="P789:P790"/>
    <mergeCell ref="K772:K773"/>
    <mergeCell ref="L772:L773"/>
    <mergeCell ref="M772:M773"/>
    <mergeCell ref="N772:N773"/>
    <mergeCell ref="G750:G752"/>
    <mergeCell ref="G759:G760"/>
    <mergeCell ref="G765:G766"/>
    <mergeCell ref="R769:R770"/>
    <mergeCell ref="A772:A773"/>
    <mergeCell ref="B772:B773"/>
    <mergeCell ref="C772:C773"/>
    <mergeCell ref="D772:D773"/>
    <mergeCell ref="F772:F773"/>
    <mergeCell ref="G772:G773"/>
    <mergeCell ref="R727:R728"/>
    <mergeCell ref="R730:R731"/>
    <mergeCell ref="G734:G736"/>
    <mergeCell ref="R734:R736"/>
    <mergeCell ref="F746:F747"/>
    <mergeCell ref="G746:G747"/>
    <mergeCell ref="G724:G726"/>
    <mergeCell ref="R724:R726"/>
    <mergeCell ref="L725:L726"/>
    <mergeCell ref="N725:N726"/>
    <mergeCell ref="O725:O726"/>
    <mergeCell ref="P725:P726"/>
    <mergeCell ref="C715:C716"/>
    <mergeCell ref="G715:G717"/>
    <mergeCell ref="I715:I716"/>
    <mergeCell ref="J715:J716"/>
    <mergeCell ref="K715:K717"/>
    <mergeCell ref="R715:R716"/>
    <mergeCell ref="R689:R690"/>
    <mergeCell ref="G698:G699"/>
    <mergeCell ref="L698:L699"/>
    <mergeCell ref="R698:R699"/>
    <mergeCell ref="R704:R705"/>
    <mergeCell ref="G713:G714"/>
    <mergeCell ref="Q713:Q714"/>
    <mergeCell ref="R713:R714"/>
    <mergeCell ref="Q651:Q652"/>
    <mergeCell ref="R651:R652"/>
    <mergeCell ref="G663:G664"/>
    <mergeCell ref="R680:R681"/>
    <mergeCell ref="G685:G687"/>
    <mergeCell ref="Q686:Q687"/>
    <mergeCell ref="O643:O645"/>
    <mergeCell ref="P643:P645"/>
    <mergeCell ref="R649:R650"/>
    <mergeCell ref="H651:H652"/>
    <mergeCell ref="M651:M652"/>
    <mergeCell ref="N651:N652"/>
    <mergeCell ref="O651:O652"/>
    <mergeCell ref="P651:P652"/>
    <mergeCell ref="P624:P625"/>
    <mergeCell ref="R624:R625"/>
    <mergeCell ref="R628:R629"/>
    <mergeCell ref="G634:G635"/>
    <mergeCell ref="H641:H644"/>
    <mergeCell ref="R641:R643"/>
    <mergeCell ref="L643:L644"/>
    <mergeCell ref="N643:N645"/>
    <mergeCell ref="G624:G625"/>
    <mergeCell ref="L624:L625"/>
    <mergeCell ref="N624:N625"/>
    <mergeCell ref="O624:O625"/>
    <mergeCell ref="O606:O607"/>
    <mergeCell ref="P606:P607"/>
    <mergeCell ref="R606:R608"/>
    <mergeCell ref="Q608:Q609"/>
    <mergeCell ref="R620:R621"/>
    <mergeCell ref="G622:G623"/>
    <mergeCell ref="R622:R623"/>
    <mergeCell ref="H606:H610"/>
    <mergeCell ref="I606:I607"/>
    <mergeCell ref="L606:L609"/>
    <mergeCell ref="N606:N607"/>
    <mergeCell ref="N601:N602"/>
    <mergeCell ref="O601:O602"/>
    <mergeCell ref="P601:P602"/>
    <mergeCell ref="R601:R602"/>
    <mergeCell ref="N590:N591"/>
    <mergeCell ref="O590:O591"/>
    <mergeCell ref="P590:P591"/>
    <mergeCell ref="R590:R591"/>
    <mergeCell ref="N588:N589"/>
    <mergeCell ref="O588:O589"/>
    <mergeCell ref="P588:P589"/>
    <mergeCell ref="R588:R589"/>
    <mergeCell ref="R562:R563"/>
    <mergeCell ref="R566:R568"/>
    <mergeCell ref="R577:R578"/>
    <mergeCell ref="R579:R581"/>
    <mergeCell ref="N584:N585"/>
    <mergeCell ref="O584:O585"/>
    <mergeCell ref="P584:P585"/>
    <mergeCell ref="G539:G540"/>
    <mergeCell ref="K539:K540"/>
    <mergeCell ref="L539:L540"/>
    <mergeCell ref="R539:R541"/>
    <mergeCell ref="N545:N546"/>
    <mergeCell ref="O545:O546"/>
    <mergeCell ref="P545:P546"/>
    <mergeCell ref="R545:R546"/>
    <mergeCell ref="N529:N530"/>
    <mergeCell ref="O529:O530"/>
    <mergeCell ref="P529:P530"/>
    <mergeCell ref="R529:R530"/>
    <mergeCell ref="N524:N525"/>
    <mergeCell ref="O524:O525"/>
    <mergeCell ref="P524:P525"/>
    <mergeCell ref="R524:R526"/>
    <mergeCell ref="R506:R508"/>
    <mergeCell ref="N515:N516"/>
    <mergeCell ref="P515:P516"/>
    <mergeCell ref="R515:R517"/>
    <mergeCell ref="Q516:Q517"/>
    <mergeCell ref="L518:L520"/>
    <mergeCell ref="R518:R519"/>
    <mergeCell ref="R493:R494"/>
    <mergeCell ref="H496:H497"/>
    <mergeCell ref="I496:I500"/>
    <mergeCell ref="R496:R499"/>
    <mergeCell ref="N497:N498"/>
    <mergeCell ref="O497:O498"/>
    <mergeCell ref="P497:P498"/>
    <mergeCell ref="R465:R466"/>
    <mergeCell ref="G467:G468"/>
    <mergeCell ref="G473:G474"/>
    <mergeCell ref="R473:R474"/>
    <mergeCell ref="G477:G478"/>
    <mergeCell ref="I477:I478"/>
    <mergeCell ref="G439:G441"/>
    <mergeCell ref="R439:R441"/>
    <mergeCell ref="G445:G446"/>
    <mergeCell ref="R445:R446"/>
    <mergeCell ref="G458:G459"/>
    <mergeCell ref="I458:I460"/>
    <mergeCell ref="R458:R460"/>
    <mergeCell ref="A401:A403"/>
    <mergeCell ref="G401:G403"/>
    <mergeCell ref="R401:R403"/>
    <mergeCell ref="L402:L403"/>
    <mergeCell ref="R428:R429"/>
    <mergeCell ref="G431:G432"/>
    <mergeCell ref="H431:H436"/>
    <mergeCell ref="L431:L432"/>
    <mergeCell ref="R431:R437"/>
    <mergeCell ref="O379:O380"/>
    <mergeCell ref="P379:P380"/>
    <mergeCell ref="R379:R380"/>
    <mergeCell ref="Q388:Q389"/>
    <mergeCell ref="A374:A375"/>
    <mergeCell ref="G374:G375"/>
    <mergeCell ref="A379:A380"/>
    <mergeCell ref="G379:G380"/>
    <mergeCell ref="K379:K380"/>
    <mergeCell ref="N379:N380"/>
    <mergeCell ref="R349:R350"/>
    <mergeCell ref="G355:G356"/>
    <mergeCell ref="R355:R356"/>
    <mergeCell ref="A362:A364"/>
    <mergeCell ref="G366:G367"/>
    <mergeCell ref="R366:R367"/>
    <mergeCell ref="R329:R330"/>
    <mergeCell ref="A342:A343"/>
    <mergeCell ref="F342:F343"/>
    <mergeCell ref="N342:N343"/>
    <mergeCell ref="O342:O343"/>
    <mergeCell ref="P342:P343"/>
    <mergeCell ref="R342:R343"/>
    <mergeCell ref="A304:A307"/>
    <mergeCell ref="G304:G307"/>
    <mergeCell ref="R304:R307"/>
    <mergeCell ref="G313:G314"/>
    <mergeCell ref="A315:A317"/>
    <mergeCell ref="C315:C317"/>
    <mergeCell ref="G315:G317"/>
    <mergeCell ref="R315:R317"/>
    <mergeCell ref="P262:P263"/>
    <mergeCell ref="R262:R263"/>
    <mergeCell ref="R271:R272"/>
    <mergeCell ref="R286:R288"/>
    <mergeCell ref="R299:R300"/>
    <mergeCell ref="A302:A303"/>
    <mergeCell ref="G302:G303"/>
    <mergeCell ref="R302:R303"/>
    <mergeCell ref="G262:G263"/>
    <mergeCell ref="L262:L263"/>
    <mergeCell ref="N262:N263"/>
    <mergeCell ref="O262:O263"/>
    <mergeCell ref="R233:R235"/>
    <mergeCell ref="R242:R243"/>
    <mergeCell ref="G246:G247"/>
    <mergeCell ref="I246:I247"/>
    <mergeCell ref="R255:R256"/>
    <mergeCell ref="Q217:Q220"/>
    <mergeCell ref="R217:R220"/>
    <mergeCell ref="G221:G222"/>
    <mergeCell ref="K221:K222"/>
    <mergeCell ref="C233:C235"/>
    <mergeCell ref="G233:G235"/>
    <mergeCell ref="N233:N235"/>
    <mergeCell ref="O233:O235"/>
    <mergeCell ref="G217:G220"/>
    <mergeCell ref="N217:N219"/>
    <mergeCell ref="O217:O219"/>
    <mergeCell ref="P217:P219"/>
    <mergeCell ref="P188:P189"/>
    <mergeCell ref="G193:G194"/>
    <mergeCell ref="P233:P235"/>
    <mergeCell ref="R193:R194"/>
    <mergeCell ref="G197:G199"/>
    <mergeCell ref="R197:R199"/>
    <mergeCell ref="G205:G206"/>
    <mergeCell ref="R205:R206"/>
    <mergeCell ref="N185:N187"/>
    <mergeCell ref="O185:O187"/>
    <mergeCell ref="P185:P187"/>
    <mergeCell ref="R185:R190"/>
    <mergeCell ref="N188:N189"/>
    <mergeCell ref="O188:O189"/>
    <mergeCell ref="P178:P180"/>
    <mergeCell ref="R178:R183"/>
    <mergeCell ref="N182:N183"/>
    <mergeCell ref="O182:O183"/>
    <mergeCell ref="P182:P183"/>
    <mergeCell ref="N172:N173"/>
    <mergeCell ref="O172:O173"/>
    <mergeCell ref="P172:P173"/>
    <mergeCell ref="G178:G179"/>
    <mergeCell ref="N178:N180"/>
    <mergeCell ref="O178:O180"/>
    <mergeCell ref="R160:R161"/>
    <mergeCell ref="G164:G165"/>
    <mergeCell ref="L164:L165"/>
    <mergeCell ref="G170:G171"/>
    <mergeCell ref="N170:N171"/>
    <mergeCell ref="O170:O171"/>
    <mergeCell ref="P170:P171"/>
    <mergeCell ref="R170:R175"/>
    <mergeCell ref="J160:J161"/>
    <mergeCell ref="N160:N161"/>
    <mergeCell ref="O160:O161"/>
    <mergeCell ref="P160:P161"/>
    <mergeCell ref="R154:R158"/>
    <mergeCell ref="N156:N157"/>
    <mergeCell ref="O156:O157"/>
    <mergeCell ref="P156:P157"/>
    <mergeCell ref="G154:G155"/>
    <mergeCell ref="N154:N155"/>
    <mergeCell ref="O154:O155"/>
    <mergeCell ref="P154:P155"/>
    <mergeCell ref="R148:R152"/>
    <mergeCell ref="N150:N151"/>
    <mergeCell ref="O150:O151"/>
    <mergeCell ref="P150:P151"/>
    <mergeCell ref="G148:G149"/>
    <mergeCell ref="N148:N149"/>
    <mergeCell ref="O148:O149"/>
    <mergeCell ref="P148:P149"/>
    <mergeCell ref="R142:R146"/>
    <mergeCell ref="N144:N145"/>
    <mergeCell ref="O144:O145"/>
    <mergeCell ref="P144:P145"/>
    <mergeCell ref="G142:G143"/>
    <mergeCell ref="N142:N143"/>
    <mergeCell ref="O142:O143"/>
    <mergeCell ref="P142:P143"/>
    <mergeCell ref="R132:R138"/>
    <mergeCell ref="N135:N136"/>
    <mergeCell ref="O135:O136"/>
    <mergeCell ref="P135:P136"/>
    <mergeCell ref="G124:G125"/>
    <mergeCell ref="K124:K125"/>
    <mergeCell ref="R124:R126"/>
    <mergeCell ref="C132:C138"/>
    <mergeCell ref="G132:G138"/>
    <mergeCell ref="N132:N134"/>
    <mergeCell ref="O132:O134"/>
    <mergeCell ref="P132:P134"/>
    <mergeCell ref="R116:R121"/>
    <mergeCell ref="N119:N121"/>
    <mergeCell ref="O119:O121"/>
    <mergeCell ref="P119:P121"/>
    <mergeCell ref="R101:R103"/>
    <mergeCell ref="G110:G111"/>
    <mergeCell ref="K110:K111"/>
    <mergeCell ref="R110:R112"/>
    <mergeCell ref="G116:G121"/>
    <mergeCell ref="N116:N118"/>
    <mergeCell ref="O116:O118"/>
    <mergeCell ref="P116:P118"/>
    <mergeCell ref="N98:N99"/>
    <mergeCell ref="O98:O99"/>
    <mergeCell ref="P98:P99"/>
    <mergeCell ref="R98:R99"/>
    <mergeCell ref="L89:L90"/>
    <mergeCell ref="R91:R93"/>
    <mergeCell ref="J95:J96"/>
    <mergeCell ref="N95:N96"/>
    <mergeCell ref="O95:O96"/>
    <mergeCell ref="P95:P96"/>
    <mergeCell ref="R95:R96"/>
    <mergeCell ref="N86:N87"/>
    <mergeCell ref="O86:O87"/>
    <mergeCell ref="P86:P87"/>
    <mergeCell ref="R86:R90"/>
    <mergeCell ref="R77:R78"/>
    <mergeCell ref="N79:N80"/>
    <mergeCell ref="O79:O80"/>
    <mergeCell ref="P79:P80"/>
    <mergeCell ref="R79:R83"/>
    <mergeCell ref="O75:O76"/>
    <mergeCell ref="P75:P76"/>
    <mergeCell ref="G77:G78"/>
    <mergeCell ref="K77:K78"/>
    <mergeCell ref="M77:M78"/>
    <mergeCell ref="P82:P83"/>
    <mergeCell ref="R51:R53"/>
    <mergeCell ref="R55:R56"/>
    <mergeCell ref="G68:G69"/>
    <mergeCell ref="G72:G76"/>
    <mergeCell ref="N72:N73"/>
    <mergeCell ref="O72:O73"/>
    <mergeCell ref="P72:P73"/>
    <mergeCell ref="R72:R76"/>
    <mergeCell ref="N75:N76"/>
    <mergeCell ref="R45:R47"/>
    <mergeCell ref="J49:J50"/>
    <mergeCell ref="N49:N50"/>
    <mergeCell ref="O49:O50"/>
    <mergeCell ref="P49:P50"/>
    <mergeCell ref="R49:R50"/>
    <mergeCell ref="R39:R42"/>
    <mergeCell ref="O39:O42"/>
    <mergeCell ref="P39:P42"/>
    <mergeCell ref="R35:R36"/>
    <mergeCell ref="O31:O32"/>
    <mergeCell ref="P31:P32"/>
    <mergeCell ref="N33:N34"/>
    <mergeCell ref="O33:O34"/>
    <mergeCell ref="P33:P34"/>
    <mergeCell ref="A44:A56"/>
    <mergeCell ref="B44:B56"/>
    <mergeCell ref="C44:C56"/>
    <mergeCell ref="D44:D56"/>
    <mergeCell ref="E44:E56"/>
    <mergeCell ref="F44:F56"/>
    <mergeCell ref="G44:G56"/>
    <mergeCell ref="N45:N47"/>
    <mergeCell ref="G39:G41"/>
    <mergeCell ref="N39:N42"/>
    <mergeCell ref="A39:A41"/>
    <mergeCell ref="B39:B41"/>
    <mergeCell ref="C39:C41"/>
    <mergeCell ref="D39:D41"/>
    <mergeCell ref="E39:E41"/>
    <mergeCell ref="F39:F41"/>
    <mergeCell ref="O45:O47"/>
    <mergeCell ref="P45:P47"/>
    <mergeCell ref="A26:A36"/>
    <mergeCell ref="B26:B36"/>
    <mergeCell ref="C26:C36"/>
    <mergeCell ref="D26:D36"/>
    <mergeCell ref="E26:E36"/>
    <mergeCell ref="N11:N12"/>
    <mergeCell ref="O11:O12"/>
    <mergeCell ref="P11:P12"/>
    <mergeCell ref="R11:R13"/>
    <mergeCell ref="F11:F12"/>
    <mergeCell ref="F26:F36"/>
    <mergeCell ref="G26:G36"/>
    <mergeCell ref="H26:H30"/>
    <mergeCell ref="R26:R30"/>
    <mergeCell ref="N28:N29"/>
    <mergeCell ref="O28:O29"/>
    <mergeCell ref="P28:P29"/>
    <mergeCell ref="N31:N32"/>
    <mergeCell ref="N17:N18"/>
    <mergeCell ref="O17:O18"/>
    <mergeCell ref="P17:P18"/>
    <mergeCell ref="N35:N36"/>
    <mergeCell ref="O35:O36"/>
    <mergeCell ref="P35:P36"/>
    <mergeCell ref="R6:R7"/>
    <mergeCell ref="A8:A9"/>
    <mergeCell ref="B8:B9"/>
    <mergeCell ref="C8:C9"/>
    <mergeCell ref="D8:D9"/>
    <mergeCell ref="E8:E9"/>
    <mergeCell ref="F8:F9"/>
    <mergeCell ref="G8:G9"/>
    <mergeCell ref="O2:O3"/>
    <mergeCell ref="P2:P3"/>
    <mergeCell ref="R2:R3"/>
    <mergeCell ref="C6:C7"/>
    <mergeCell ref="N6:N7"/>
    <mergeCell ref="O6:O7"/>
    <mergeCell ref="P6:P7"/>
    <mergeCell ref="A2:A3"/>
    <mergeCell ref="C2:C3"/>
    <mergeCell ref="E2:E3"/>
    <mergeCell ref="K2:K3"/>
    <mergeCell ref="N2:N3"/>
  </mergeCells>
  <phoneticPr fontId="2"/>
  <hyperlinks>
    <hyperlink ref="Q791" r:id="rId1" display="http://kameyamarekihaku.jp/sisi/RekisiHP/kingendai/01/m29siryo/m29.html"/>
  </hyperlinks>
  <pageMargins left="0.74803149606299213" right="0.27559055118110237" top="0.55118110236220474" bottom="0.83" header="0.51181102362204722" footer="0.27"/>
  <pageSetup paperSize="8" scale="66" fitToHeight="0" orientation="landscape" horizontalDpi="300" verticalDpi="300" r:id="rId2"/>
  <headerFooter alignWithMargins="0">
    <oddFooter>&amp;C&amp;P ページ&amp;R●世の中の動き　▲外国との交流　■文化に関する事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対応年表</vt:lpstr>
      <vt:lpstr>対応年表!Print_Titles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管理者</cp:lastModifiedBy>
  <dcterms:created xsi:type="dcterms:W3CDTF">2015-04-24T02:17:14Z</dcterms:created>
  <dcterms:modified xsi:type="dcterms:W3CDTF">2015-06-05T06:39:33Z</dcterms:modified>
</cp:coreProperties>
</file>